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45" windowWidth="12000" windowHeight="5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'Sheet1'!$A$1:$BW$90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<sst xmlns="http://schemas.openxmlformats.org/spreadsheetml/2006/main" count="292" uniqueCount="91">
  <si>
    <t>Figures in NOK million</t>
  </si>
  <si>
    <t>Sales growth %</t>
  </si>
  <si>
    <t xml:space="preserve">        %</t>
  </si>
  <si>
    <t>Operating expenses</t>
  </si>
  <si>
    <t>Operating profit</t>
  </si>
  <si>
    <t>Associated comp.</t>
  </si>
  <si>
    <t>Net finance</t>
  </si>
  <si>
    <t>Taxes</t>
  </si>
  <si>
    <t>NET PROFIT</t>
  </si>
  <si>
    <t>Minority interest</t>
  </si>
  <si>
    <t>EPS</t>
  </si>
  <si>
    <t>Operating revenues</t>
  </si>
  <si>
    <t>Gross contribution</t>
  </si>
  <si>
    <t>Cost of goods sold</t>
  </si>
  <si>
    <t>Leasing depreciation</t>
  </si>
  <si>
    <t>TOMRA Group</t>
  </si>
  <si>
    <t>Norway</t>
  </si>
  <si>
    <t>Sweden</t>
  </si>
  <si>
    <t>Finland</t>
  </si>
  <si>
    <t>Denmark</t>
  </si>
  <si>
    <t>The Netherlands</t>
  </si>
  <si>
    <t>Germany</t>
  </si>
  <si>
    <t>Austria</t>
  </si>
  <si>
    <t>Others</t>
  </si>
  <si>
    <t>New York</t>
  </si>
  <si>
    <t>Connecticut</t>
  </si>
  <si>
    <t>Massachusetts</t>
  </si>
  <si>
    <t>Michigan</t>
  </si>
  <si>
    <t>California</t>
  </si>
  <si>
    <t>Non-deposit states</t>
  </si>
  <si>
    <t>Total Europe</t>
  </si>
  <si>
    <t>Europe, geographic</t>
  </si>
  <si>
    <t>Europe, activity</t>
  </si>
  <si>
    <t>Sales, lease</t>
  </si>
  <si>
    <t>Service</t>
  </si>
  <si>
    <t>Materials handling</t>
  </si>
  <si>
    <t>Admin. &amp; promotion</t>
  </si>
  <si>
    <t>Depreciation &amp; write-down</t>
  </si>
  <si>
    <t>Other income</t>
  </si>
  <si>
    <t>Cont.</t>
  </si>
  <si>
    <t>Discont.</t>
  </si>
  <si>
    <t>Total</t>
  </si>
  <si>
    <t>1Q99</t>
  </si>
  <si>
    <t>2Q99</t>
  </si>
  <si>
    <t>3Q99</t>
  </si>
  <si>
    <t>4Q99</t>
  </si>
  <si>
    <t>1999</t>
  </si>
  <si>
    <t>Ordinary profit before tax</t>
  </si>
  <si>
    <t>Losses related to WMG</t>
  </si>
  <si>
    <t>Losses related to Pacific</t>
  </si>
  <si>
    <t>Profit and Loss</t>
  </si>
  <si>
    <t>Geographic</t>
  </si>
  <si>
    <t>and activity</t>
  </si>
  <si>
    <t>Switzerland</t>
  </si>
  <si>
    <t>Belgium</t>
  </si>
  <si>
    <t>Canada</t>
  </si>
  <si>
    <t>Total North America</t>
  </si>
  <si>
    <t>North America, geographic</t>
  </si>
  <si>
    <t>North America, activity</t>
  </si>
  <si>
    <t>South America, activity</t>
  </si>
  <si>
    <t>South America, geographic</t>
  </si>
  <si>
    <t>Brazil</t>
  </si>
  <si>
    <t>Total South America</t>
  </si>
  <si>
    <t>Test 1</t>
  </si>
  <si>
    <t>Test 2</t>
  </si>
  <si>
    <t>Test 3</t>
  </si>
  <si>
    <t>Test 4</t>
  </si>
  <si>
    <t>Test 5</t>
  </si>
  <si>
    <t>1Q00</t>
  </si>
  <si>
    <t>2Q00</t>
  </si>
  <si>
    <t>3Q00</t>
  </si>
  <si>
    <t>4Q00</t>
  </si>
  <si>
    <t>2000</t>
  </si>
  <si>
    <t>Recycling centers</t>
  </si>
  <si>
    <t>1Q01</t>
  </si>
  <si>
    <t>2Q01</t>
  </si>
  <si>
    <t>3Q01</t>
  </si>
  <si>
    <t>4Q01</t>
  </si>
  <si>
    <t>1Q98</t>
  </si>
  <si>
    <t>2Q98</t>
  </si>
  <si>
    <t>3Q98</t>
  </si>
  <si>
    <t>4Q98</t>
  </si>
  <si>
    <t>1998</t>
  </si>
  <si>
    <t>1997</t>
  </si>
  <si>
    <t>1996</t>
  </si>
  <si>
    <t>1995</t>
  </si>
  <si>
    <t>1Q02</t>
  </si>
  <si>
    <t>2Q02</t>
  </si>
  <si>
    <t>3Q02</t>
  </si>
  <si>
    <t>4Q02</t>
  </si>
  <si>
    <t>YTD2002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</si>
</sst>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.0_);\(#,##0.0\)"/>
    <numFmt numFmtId="179" formatCode="0.0%"/>
    <numFmt numFmtId="180" formatCode="0.00_)"/>
    <numFmt numFmtId="181" formatCode="0_);\(0\)"/>
    <numFmt numFmtId="182" formatCode="#,##0.0"/>
    <numFmt numFmtId="183" formatCode="#,##0.000"/>
    <numFmt numFmtId="184" formatCode="0.0\ %"/>
    <numFmt numFmtId="185" formatCode="0.00000000000000"/>
    <numFmt numFmtId="186" formatCode="#,##0.0000000000000000"/>
    <numFmt numFmtId="187" formatCode="#,##0.0_);[Red]\(#,##0.0\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2" borderId="1" xfId="0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3" fontId="0" fillId="2" borderId="2" xfId="0" applyNumberFormat="1" applyFill="1" applyBorder="1" applyAlignment="1" applyProtection="1">
      <alignment/>
      <protection/>
    </xf>
    <xf numFmtId="3" fontId="0" fillId="2" borderId="3" xfId="0" applyNumberForma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" fontId="0" fillId="2" borderId="0" xfId="0" applyNumberForma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3" borderId="1" xfId="0" applyNumberFormat="1" applyFill="1" applyBorder="1" applyAlignment="1" applyProtection="1">
      <alignment/>
      <protection/>
    </xf>
    <xf numFmtId="179" fontId="0" fillId="3" borderId="0" xfId="0" applyNumberFormat="1" applyFill="1" applyBorder="1" applyAlignment="1" applyProtection="1">
      <alignment/>
      <protection/>
    </xf>
    <xf numFmtId="178" fontId="3" fillId="3" borderId="0" xfId="0" applyNumberFormat="1" applyFont="1" applyFill="1" applyBorder="1" applyAlignment="1" applyProtection="1">
      <alignment/>
      <protection/>
    </xf>
    <xf numFmtId="179" fontId="3" fillId="3" borderId="0" xfId="0" applyNumberFormat="1" applyFont="1" applyFill="1" applyBorder="1" applyAlignment="1" applyProtection="1">
      <alignment/>
      <protection/>
    </xf>
    <xf numFmtId="184" fontId="0" fillId="3" borderId="0" xfId="0" applyNumberFormat="1" applyFill="1" applyBorder="1" applyAlignment="1" applyProtection="1">
      <alignment/>
      <protection/>
    </xf>
    <xf numFmtId="10" fontId="3" fillId="3" borderId="0" xfId="0" applyNumberFormat="1" applyFont="1" applyFill="1" applyBorder="1" applyAlignment="1" applyProtection="1">
      <alignment/>
      <protection/>
    </xf>
    <xf numFmtId="0" fontId="6" fillId="4" borderId="7" xfId="0" applyFont="1" applyFill="1" applyBorder="1" applyAlignment="1">
      <alignment/>
    </xf>
    <xf numFmtId="0" fontId="6" fillId="4" borderId="0" xfId="0" applyFont="1" applyFill="1" applyAlignment="1">
      <alignment/>
    </xf>
    <xf numFmtId="179" fontId="0" fillId="0" borderId="0" xfId="0" applyNumberForma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7" fontId="5" fillId="4" borderId="7" xfId="0" applyNumberFormat="1" applyFont="1" applyFill="1" applyBorder="1" applyAlignment="1" applyProtection="1">
      <alignment horizontal="center"/>
      <protection/>
    </xf>
    <xf numFmtId="37" fontId="5" fillId="4" borderId="8" xfId="0" applyNumberFormat="1" applyFont="1" applyFill="1" applyBorder="1" applyAlignment="1" applyProtection="1">
      <alignment horizontal="center"/>
      <protection/>
    </xf>
    <xf numFmtId="37" fontId="5" fillId="5" borderId="8" xfId="0" applyNumberFormat="1" applyFont="1" applyFill="1" applyBorder="1" applyAlignment="1" applyProtection="1">
      <alignment horizontal="center"/>
      <protection/>
    </xf>
    <xf numFmtId="37" fontId="0" fillId="5" borderId="7" xfId="0" applyNumberFormat="1" applyFill="1" applyBorder="1" applyAlignment="1" applyProtection="1">
      <alignment/>
      <protection/>
    </xf>
    <xf numFmtId="37" fontId="0" fillId="5" borderId="9" xfId="0" applyNumberFormat="1" applyFill="1" applyBorder="1" applyAlignment="1" applyProtection="1">
      <alignment/>
      <protection/>
    </xf>
    <xf numFmtId="37" fontId="5" fillId="4" borderId="9" xfId="0" applyNumberFormat="1" applyFont="1" applyFill="1" applyBorder="1" applyAlignment="1" applyProtection="1">
      <alignment horizontal="center"/>
      <protection/>
    </xf>
    <xf numFmtId="2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37" fontId="5" fillId="5" borderId="8" xfId="0" applyNumberFormat="1" applyFont="1" applyFill="1" applyBorder="1" applyAlignment="1" applyProtection="1" quotePrefix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179" fontId="0" fillId="0" borderId="11" xfId="0" applyNumberForma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4" fontId="0" fillId="0" borderId="11" xfId="0" applyNumberFormat="1" applyBorder="1" applyAlignment="1" applyProtection="1">
      <alignment/>
      <protection/>
    </xf>
    <xf numFmtId="10" fontId="3" fillId="0" borderId="11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4" xfId="0" applyFont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2" borderId="11" xfId="0" applyNumberFormat="1" applyFill="1" applyBorder="1" applyAlignment="1" applyProtection="1">
      <alignment/>
      <protection/>
    </xf>
    <xf numFmtId="3" fontId="0" fillId="2" borderId="13" xfId="0" applyNumberFormat="1" applyFill="1" applyBorder="1" applyAlignment="1" applyProtection="1">
      <alignment/>
      <protection/>
    </xf>
    <xf numFmtId="37" fontId="0" fillId="3" borderId="0" xfId="0" applyNumberFormat="1" applyFill="1" applyBorder="1" applyAlignment="1" applyProtection="1">
      <alignment/>
      <protection/>
    </xf>
    <xf numFmtId="0" fontId="0" fillId="3" borderId="0" xfId="0" applyFill="1" applyAlignment="1">
      <alignment/>
    </xf>
    <xf numFmtId="37" fontId="0" fillId="3" borderId="0" xfId="0" applyNumberFormat="1" applyFill="1" applyAlignment="1" applyProtection="1">
      <alignment/>
      <protection/>
    </xf>
    <xf numFmtId="37" fontId="0" fillId="3" borderId="14" xfId="0" applyNumberFormat="1" applyFill="1" applyBorder="1" applyAlignment="1" applyProtection="1">
      <alignment/>
      <protection/>
    </xf>
    <xf numFmtId="37" fontId="0" fillId="5" borderId="8" xfId="0" applyNumberFormat="1" applyFill="1" applyBorder="1" applyAlignment="1" applyProtection="1">
      <alignment/>
      <protection/>
    </xf>
    <xf numFmtId="0" fontId="7" fillId="6" borderId="12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7" fillId="6" borderId="5" xfId="0" applyFont="1" applyFill="1" applyBorder="1" applyAlignment="1">
      <alignment/>
    </xf>
    <xf numFmtId="179" fontId="0" fillId="0" borderId="11" xfId="0" applyNumberFormat="1" applyFill="1" applyBorder="1" applyAlignment="1" applyProtection="1">
      <alignment/>
      <protection/>
    </xf>
    <xf numFmtId="178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4" fontId="0" fillId="0" borderId="11" xfId="0" applyNumberFormat="1" applyFill="1" applyBorder="1" applyAlignment="1" applyProtection="1">
      <alignment/>
      <protection/>
    </xf>
    <xf numFmtId="10" fontId="3" fillId="0" borderId="11" xfId="0" applyNumberFormat="1" applyFont="1" applyFill="1" applyBorder="1" applyAlignment="1" applyProtection="1">
      <alignment/>
      <protection/>
    </xf>
    <xf numFmtId="187" fontId="1" fillId="2" borderId="4" xfId="0" applyNumberFormat="1" applyFont="1" applyFill="1" applyBorder="1" applyAlignment="1">
      <alignment/>
    </xf>
    <xf numFmtId="187" fontId="0" fillId="2" borderId="0" xfId="0" applyNumberFormat="1" applyFill="1" applyBorder="1" applyAlignment="1" applyProtection="1">
      <alignment/>
      <protection/>
    </xf>
    <xf numFmtId="187" fontId="0" fillId="2" borderId="11" xfId="0" applyNumberFormat="1" applyFill="1" applyBorder="1" applyAlignment="1" applyProtection="1">
      <alignment/>
      <protection/>
    </xf>
    <xf numFmtId="187" fontId="0" fillId="0" borderId="0" xfId="0" applyNumberFormat="1" applyAlignment="1">
      <alignment/>
    </xf>
    <xf numFmtId="187" fontId="1" fillId="0" borderId="4" xfId="0" applyNumberFormat="1" applyFont="1" applyBorder="1" applyAlignment="1">
      <alignment horizontal="left"/>
    </xf>
    <xf numFmtId="187" fontId="0" fillId="3" borderId="0" xfId="0" applyNumberFormat="1" applyFont="1" applyFill="1" applyBorder="1" applyAlignment="1" applyProtection="1">
      <alignment/>
      <protection/>
    </xf>
    <xf numFmtId="187" fontId="0" fillId="0" borderId="0" xfId="0" applyNumberFormat="1" applyFont="1" applyBorder="1" applyAlignment="1" applyProtection="1">
      <alignment/>
      <protection/>
    </xf>
    <xf numFmtId="187" fontId="0" fillId="0" borderId="11" xfId="0" applyNumberFormat="1" applyFont="1" applyBorder="1" applyAlignment="1" applyProtection="1">
      <alignment/>
      <protection/>
    </xf>
    <xf numFmtId="187" fontId="0" fillId="0" borderId="0" xfId="0" applyNumberFormat="1" applyFont="1" applyFill="1" applyBorder="1" applyAlignment="1" applyProtection="1">
      <alignment/>
      <protection/>
    </xf>
    <xf numFmtId="187" fontId="0" fillId="0" borderId="11" xfId="0" applyNumberFormat="1" applyFont="1" applyFill="1" applyBorder="1" applyAlignment="1" applyProtection="1">
      <alignment/>
      <protection/>
    </xf>
    <xf numFmtId="187" fontId="4" fillId="0" borderId="0" xfId="0" applyNumberFormat="1" applyFont="1" applyAlignment="1">
      <alignment/>
    </xf>
    <xf numFmtId="187" fontId="1" fillId="0" borderId="4" xfId="0" applyNumberFormat="1" applyFont="1" applyBorder="1" applyAlignment="1">
      <alignment/>
    </xf>
    <xf numFmtId="187" fontId="0" fillId="0" borderId="0" xfId="0" applyNumberFormat="1" applyBorder="1" applyAlignment="1" applyProtection="1">
      <alignment/>
      <protection/>
    </xf>
    <xf numFmtId="187" fontId="0" fillId="0" borderId="11" xfId="0" applyNumberFormat="1" applyBorder="1" applyAlignment="1" applyProtection="1">
      <alignment/>
      <protection/>
    </xf>
    <xf numFmtId="187" fontId="0" fillId="0" borderId="11" xfId="0" applyNumberFormat="1" applyFill="1" applyBorder="1" applyAlignment="1" applyProtection="1">
      <alignment/>
      <protection/>
    </xf>
    <xf numFmtId="187" fontId="2" fillId="0" borderId="4" xfId="0" applyNumberFormat="1" applyFont="1" applyBorder="1" applyAlignment="1">
      <alignment/>
    </xf>
    <xf numFmtId="187" fontId="3" fillId="3" borderId="0" xfId="0" applyNumberFormat="1" applyFont="1" applyFill="1" applyBorder="1" applyAlignment="1" applyProtection="1">
      <alignment/>
      <protection/>
    </xf>
    <xf numFmtId="187" fontId="3" fillId="0" borderId="0" xfId="0" applyNumberFormat="1" applyFont="1" applyBorder="1" applyAlignment="1" applyProtection="1">
      <alignment/>
      <protection/>
    </xf>
    <xf numFmtId="187" fontId="3" fillId="0" borderId="11" xfId="0" applyNumberFormat="1" applyFont="1" applyBorder="1" applyAlignment="1" applyProtection="1">
      <alignment/>
      <protection/>
    </xf>
    <xf numFmtId="187" fontId="3" fillId="0" borderId="11" xfId="0" applyNumberFormat="1" applyFont="1" applyFill="1" applyBorder="1" applyAlignment="1" applyProtection="1">
      <alignment/>
      <protection/>
    </xf>
    <xf numFmtId="187" fontId="3" fillId="0" borderId="0" xfId="0" applyNumberFormat="1" applyFont="1" applyAlignment="1">
      <alignment/>
    </xf>
    <xf numFmtId="3" fontId="0" fillId="0" borderId="0" xfId="0" applyNumberForma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179" fontId="0" fillId="3" borderId="1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7" fontId="0" fillId="3" borderId="6" xfId="0" applyNumberFormat="1" applyFill="1" applyBorder="1" applyAlignment="1" applyProtection="1">
      <alignment/>
      <protection/>
    </xf>
    <xf numFmtId="3" fontId="0" fillId="3" borderId="0" xfId="0" applyNumberFormat="1" applyFill="1" applyBorder="1" applyAlignment="1" applyProtection="1">
      <alignment/>
      <protection/>
    </xf>
    <xf numFmtId="37" fontId="0" fillId="0" borderId="4" xfId="0" applyNumberFormat="1" applyFill="1" applyBorder="1" applyAlignment="1" applyProtection="1">
      <alignment/>
      <protection/>
    </xf>
    <xf numFmtId="37" fontId="5" fillId="0" borderId="4" xfId="0" applyNumberFormat="1" applyFont="1" applyFill="1" applyBorder="1" applyAlignment="1" applyProtection="1">
      <alignment horizontal="center"/>
      <protection/>
    </xf>
    <xf numFmtId="187" fontId="0" fillId="0" borderId="4" xfId="0" applyNumberFormat="1" applyFill="1" applyBorder="1" applyAlignment="1" applyProtection="1">
      <alignment/>
      <protection/>
    </xf>
    <xf numFmtId="179" fontId="0" fillId="0" borderId="4" xfId="0" applyNumberFormat="1" applyFill="1" applyBorder="1" applyAlignment="1" applyProtection="1">
      <alignment/>
      <protection/>
    </xf>
    <xf numFmtId="187" fontId="0" fillId="0" borderId="4" xfId="0" applyNumberFormat="1" applyFont="1" applyFill="1" applyBorder="1" applyAlignment="1" applyProtection="1">
      <alignment/>
      <protection/>
    </xf>
    <xf numFmtId="178" fontId="3" fillId="0" borderId="4" xfId="0" applyNumberFormat="1" applyFont="1" applyFill="1" applyBorder="1" applyAlignment="1" applyProtection="1">
      <alignment/>
      <protection/>
    </xf>
    <xf numFmtId="179" fontId="3" fillId="0" borderId="4" xfId="0" applyNumberFormat="1" applyFont="1" applyFill="1" applyBorder="1" applyAlignment="1" applyProtection="1">
      <alignment/>
      <protection/>
    </xf>
    <xf numFmtId="187" fontId="3" fillId="0" borderId="4" xfId="0" applyNumberFormat="1" applyFont="1" applyFill="1" applyBorder="1" applyAlignment="1" applyProtection="1">
      <alignment/>
      <protection/>
    </xf>
    <xf numFmtId="184" fontId="0" fillId="0" borderId="4" xfId="0" applyNumberFormat="1" applyFill="1" applyBorder="1" applyAlignment="1" applyProtection="1">
      <alignment/>
      <protection/>
    </xf>
    <xf numFmtId="10" fontId="3" fillId="0" borderId="4" xfId="0" applyNumberFormat="1" applyFont="1" applyFill="1" applyBorder="1" applyAlignment="1" applyProtection="1">
      <alignment/>
      <protection/>
    </xf>
    <xf numFmtId="180" fontId="0" fillId="0" borderId="4" xfId="0" applyNumberFormat="1" applyFill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/>
      <protection/>
    </xf>
    <xf numFmtId="40" fontId="0" fillId="2" borderId="3" xfId="0" applyNumberFormat="1" applyFill="1" applyBorder="1" applyAlignment="1" applyProtection="1">
      <alignment/>
      <protection/>
    </xf>
    <xf numFmtId="40" fontId="0" fillId="0" borderId="4" xfId="0" applyNumberFormat="1" applyFill="1" applyBorder="1" applyAlignment="1" applyProtection="1">
      <alignment/>
      <protection/>
    </xf>
    <xf numFmtId="40" fontId="0" fillId="2" borderId="13" xfId="0" applyNumberFormat="1" applyFill="1" applyBorder="1" applyAlignment="1" applyProtection="1">
      <alignment/>
      <protection/>
    </xf>
    <xf numFmtId="40" fontId="0" fillId="2" borderId="2" xfId="0" applyNumberFormat="1" applyFill="1" applyBorder="1" applyAlignment="1" applyProtection="1">
      <alignment/>
      <protection/>
    </xf>
    <xf numFmtId="0" fontId="5" fillId="5" borderId="8" xfId="0" applyNumberFormat="1" applyFont="1" applyFill="1" applyBorder="1" applyAlignment="1" applyProtection="1" quotePrefix="1">
      <alignment horizontal="center"/>
      <protection/>
    </xf>
    <xf numFmtId="0" fontId="5" fillId="5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8"/>
  <sheetViews>
    <sheetView tabSelected="1" workbookViewId="0" topLeftCell="A1">
      <pane xSplit="1" ySplit="4" topLeftCell="BN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V61" sqref="BV61"/>
    </sheetView>
  </sheetViews>
  <sheetFormatPr defaultColWidth="9.140625" defaultRowHeight="12.75"/>
  <cols>
    <col min="1" max="1" width="25.7109375" style="0" customWidth="1"/>
    <col min="2" max="2" width="3.28125" style="89" customWidth="1"/>
    <col min="3" max="3" width="7.57421875" style="0" customWidth="1"/>
    <col min="4" max="4" width="3.28125" style="89" customWidth="1"/>
    <col min="5" max="5" width="7.57421875" style="0" customWidth="1"/>
    <col min="6" max="6" width="3.28125" style="89" customWidth="1"/>
    <col min="7" max="7" width="7.57421875" style="0" customWidth="1"/>
    <col min="8" max="8" width="3.28125" style="89" customWidth="1"/>
    <col min="9" max="23" width="7.57421875" style="0" customWidth="1"/>
    <col min="24" max="24" width="3.28125" style="89" customWidth="1"/>
    <col min="25" max="39" width="7.57421875" style="0" customWidth="1"/>
    <col min="40" max="40" width="3.28125" style="89" customWidth="1"/>
    <col min="41" max="55" width="7.57421875" style="0" customWidth="1"/>
    <col min="56" max="56" width="3.28125" style="89" customWidth="1"/>
    <col min="57" max="71" width="7.57421875" style="0" customWidth="1"/>
    <col min="72" max="72" width="3.28125" style="89" customWidth="1"/>
    <col min="73" max="75" width="7.57421875" style="0" customWidth="1"/>
    <col min="76" max="87" width="7.57421875" style="0" hidden="1" customWidth="1"/>
  </cols>
  <sheetData>
    <row r="1" spans="1:29" ht="15.75">
      <c r="A1" s="57" t="s">
        <v>15</v>
      </c>
      <c r="I1" s="1"/>
      <c r="J1" s="1"/>
      <c r="K1" s="1"/>
      <c r="L1" s="1"/>
      <c r="M1" s="1"/>
      <c r="Y1" s="1"/>
      <c r="Z1" s="1"/>
      <c r="AA1" s="1"/>
      <c r="AB1" s="1"/>
      <c r="AC1" s="1"/>
    </row>
    <row r="2" spans="1:29" ht="16.5" thickBot="1">
      <c r="A2" s="58" t="s">
        <v>50</v>
      </c>
      <c r="I2" s="1"/>
      <c r="J2" s="1"/>
      <c r="K2" s="1"/>
      <c r="L2" s="1"/>
      <c r="M2" s="1"/>
      <c r="Y2" s="1"/>
      <c r="Z2" s="1"/>
      <c r="AA2" s="1"/>
      <c r="AB2" s="1"/>
      <c r="AC2" s="1"/>
    </row>
    <row r="3" spans="1:87" ht="16.5" thickBot="1">
      <c r="A3" s="59"/>
      <c r="B3" s="95"/>
      <c r="C3" s="39" t="s">
        <v>85</v>
      </c>
      <c r="D3" s="95"/>
      <c r="E3" s="39" t="s">
        <v>84</v>
      </c>
      <c r="F3" s="95"/>
      <c r="G3" s="39" t="s">
        <v>83</v>
      </c>
      <c r="H3" s="95"/>
      <c r="I3" s="56"/>
      <c r="J3" s="33" t="s">
        <v>78</v>
      </c>
      <c r="K3" s="35"/>
      <c r="L3" s="34"/>
      <c r="M3" s="33" t="s">
        <v>79</v>
      </c>
      <c r="N3" s="35"/>
      <c r="O3" s="34"/>
      <c r="P3" s="33" t="s">
        <v>80</v>
      </c>
      <c r="Q3" s="35"/>
      <c r="R3" s="34"/>
      <c r="S3" s="33" t="s">
        <v>81</v>
      </c>
      <c r="T3" s="35"/>
      <c r="U3" s="34"/>
      <c r="V3" s="39" t="s">
        <v>82</v>
      </c>
      <c r="W3" s="35"/>
      <c r="X3" s="95"/>
      <c r="Y3" s="56"/>
      <c r="Z3" s="33" t="s">
        <v>42</v>
      </c>
      <c r="AA3" s="35"/>
      <c r="AB3" s="34"/>
      <c r="AC3" s="33" t="s">
        <v>43</v>
      </c>
      <c r="AD3" s="35"/>
      <c r="AE3" s="34"/>
      <c r="AF3" s="33" t="s">
        <v>44</v>
      </c>
      <c r="AG3" s="35"/>
      <c r="AH3" s="34"/>
      <c r="AI3" s="33" t="s">
        <v>45</v>
      </c>
      <c r="AJ3" s="35"/>
      <c r="AK3" s="34"/>
      <c r="AL3" s="39" t="s">
        <v>46</v>
      </c>
      <c r="AM3" s="35"/>
      <c r="AN3" s="95"/>
      <c r="AO3" s="56"/>
      <c r="AP3" s="33" t="s">
        <v>68</v>
      </c>
      <c r="AQ3" s="35"/>
      <c r="AR3" s="34"/>
      <c r="AS3" s="33" t="s">
        <v>69</v>
      </c>
      <c r="AT3" s="35"/>
      <c r="AU3" s="34"/>
      <c r="AV3" s="33" t="s">
        <v>70</v>
      </c>
      <c r="AW3" s="35"/>
      <c r="AX3" s="34"/>
      <c r="AY3" s="33" t="s">
        <v>71</v>
      </c>
      <c r="AZ3" s="35"/>
      <c r="BA3" s="34"/>
      <c r="BB3" s="39" t="s">
        <v>72</v>
      </c>
      <c r="BC3" s="35"/>
      <c r="BD3" s="95"/>
      <c r="BE3" s="56"/>
      <c r="BF3" s="33" t="s">
        <v>74</v>
      </c>
      <c r="BG3" s="35"/>
      <c r="BH3" s="34"/>
      <c r="BI3" s="33" t="s">
        <v>75</v>
      </c>
      <c r="BJ3" s="35"/>
      <c r="BK3" s="34"/>
      <c r="BL3" s="33" t="s">
        <v>76</v>
      </c>
      <c r="BM3" s="35"/>
      <c r="BN3" s="34"/>
      <c r="BO3" s="33" t="s">
        <v>77</v>
      </c>
      <c r="BP3" s="35"/>
      <c r="BQ3" s="34"/>
      <c r="BR3" s="111">
        <v>2001</v>
      </c>
      <c r="BS3" s="35"/>
      <c r="BT3" s="95"/>
      <c r="BU3" s="56"/>
      <c r="BV3" s="33" t="s">
        <v>86</v>
      </c>
      <c r="BW3" s="35"/>
      <c r="BX3" s="34"/>
      <c r="BY3" s="33" t="s">
        <v>87</v>
      </c>
      <c r="BZ3" s="35"/>
      <c r="CA3" s="34"/>
      <c r="CB3" s="33" t="s">
        <v>88</v>
      </c>
      <c r="CC3" s="35"/>
      <c r="CD3" s="34"/>
      <c r="CE3" s="33" t="s">
        <v>89</v>
      </c>
      <c r="CF3" s="35"/>
      <c r="CG3" s="34"/>
      <c r="CH3" s="112" t="s">
        <v>90</v>
      </c>
      <c r="CI3" s="35"/>
    </row>
    <row r="4" spans="1:253" s="24" customFormat="1" ht="13.5" thickBot="1">
      <c r="A4" s="23" t="s">
        <v>0</v>
      </c>
      <c r="B4" s="96"/>
      <c r="C4" s="31" t="s">
        <v>41</v>
      </c>
      <c r="D4" s="96"/>
      <c r="E4" s="32" t="s">
        <v>41</v>
      </c>
      <c r="F4" s="96"/>
      <c r="G4" s="32" t="s">
        <v>41</v>
      </c>
      <c r="H4" s="96"/>
      <c r="I4" s="31" t="s">
        <v>39</v>
      </c>
      <c r="J4" s="32" t="s">
        <v>40</v>
      </c>
      <c r="K4" s="32" t="s">
        <v>41</v>
      </c>
      <c r="L4" s="31" t="s">
        <v>39</v>
      </c>
      <c r="M4" s="32" t="s">
        <v>40</v>
      </c>
      <c r="N4" s="36" t="s">
        <v>41</v>
      </c>
      <c r="O4" s="31" t="s">
        <v>39</v>
      </c>
      <c r="P4" s="32" t="s">
        <v>40</v>
      </c>
      <c r="Q4" s="36" t="s">
        <v>41</v>
      </c>
      <c r="R4" s="31" t="s">
        <v>39</v>
      </c>
      <c r="S4" s="32" t="s">
        <v>40</v>
      </c>
      <c r="T4" s="36" t="s">
        <v>41</v>
      </c>
      <c r="U4" s="31" t="s">
        <v>39</v>
      </c>
      <c r="V4" s="32" t="s">
        <v>40</v>
      </c>
      <c r="W4" s="36" t="s">
        <v>41</v>
      </c>
      <c r="X4" s="96"/>
      <c r="Y4" s="32" t="s">
        <v>39</v>
      </c>
      <c r="Z4" s="32" t="s">
        <v>40</v>
      </c>
      <c r="AA4" s="32" t="s">
        <v>41</v>
      </c>
      <c r="AB4" s="31" t="s">
        <v>39</v>
      </c>
      <c r="AC4" s="32" t="s">
        <v>40</v>
      </c>
      <c r="AD4" s="36" t="s">
        <v>41</v>
      </c>
      <c r="AE4" s="31" t="s">
        <v>39</v>
      </c>
      <c r="AF4" s="32" t="s">
        <v>40</v>
      </c>
      <c r="AG4" s="36" t="s">
        <v>41</v>
      </c>
      <c r="AH4" s="31" t="s">
        <v>39</v>
      </c>
      <c r="AI4" s="32" t="s">
        <v>40</v>
      </c>
      <c r="AJ4" s="36" t="s">
        <v>41</v>
      </c>
      <c r="AK4" s="31" t="s">
        <v>39</v>
      </c>
      <c r="AL4" s="32" t="s">
        <v>40</v>
      </c>
      <c r="AM4" s="36" t="s">
        <v>41</v>
      </c>
      <c r="AN4" s="96"/>
      <c r="AO4" s="31" t="s">
        <v>39</v>
      </c>
      <c r="AP4" s="32" t="s">
        <v>40</v>
      </c>
      <c r="AQ4" s="32" t="s">
        <v>41</v>
      </c>
      <c r="AR4" s="31" t="s">
        <v>39</v>
      </c>
      <c r="AS4" s="32" t="s">
        <v>40</v>
      </c>
      <c r="AT4" s="36" t="s">
        <v>41</v>
      </c>
      <c r="AU4" s="31" t="s">
        <v>39</v>
      </c>
      <c r="AV4" s="32" t="s">
        <v>40</v>
      </c>
      <c r="AW4" s="36" t="s">
        <v>41</v>
      </c>
      <c r="AX4" s="31" t="s">
        <v>39</v>
      </c>
      <c r="AY4" s="32" t="s">
        <v>40</v>
      </c>
      <c r="AZ4" s="36" t="s">
        <v>41</v>
      </c>
      <c r="BA4" s="31" t="s">
        <v>39</v>
      </c>
      <c r="BB4" s="32" t="s">
        <v>40</v>
      </c>
      <c r="BC4" s="36" t="s">
        <v>41</v>
      </c>
      <c r="BD4" s="96"/>
      <c r="BE4" s="31" t="s">
        <v>39</v>
      </c>
      <c r="BF4" s="32" t="s">
        <v>40</v>
      </c>
      <c r="BG4" s="32" t="s">
        <v>41</v>
      </c>
      <c r="BH4" s="31" t="s">
        <v>39</v>
      </c>
      <c r="BI4" s="32" t="s">
        <v>40</v>
      </c>
      <c r="BJ4" s="36" t="s">
        <v>41</v>
      </c>
      <c r="BK4" s="31" t="s">
        <v>39</v>
      </c>
      <c r="BL4" s="32" t="s">
        <v>40</v>
      </c>
      <c r="BM4" s="36" t="s">
        <v>41</v>
      </c>
      <c r="BN4" s="31" t="s">
        <v>39</v>
      </c>
      <c r="BO4" s="32" t="s">
        <v>40</v>
      </c>
      <c r="BP4" s="36" t="s">
        <v>41</v>
      </c>
      <c r="BQ4" s="31" t="s">
        <v>39</v>
      </c>
      <c r="BR4" s="32" t="s">
        <v>40</v>
      </c>
      <c r="BS4" s="36" t="s">
        <v>41</v>
      </c>
      <c r="BT4" s="96"/>
      <c r="BU4" s="31" t="s">
        <v>39</v>
      </c>
      <c r="BV4" s="32" t="s">
        <v>40</v>
      </c>
      <c r="BW4" s="32" t="s">
        <v>41</v>
      </c>
      <c r="BX4" s="31" t="s">
        <v>39</v>
      </c>
      <c r="BY4" s="32" t="s">
        <v>40</v>
      </c>
      <c r="BZ4" s="36" t="s">
        <v>41</v>
      </c>
      <c r="CA4" s="31" t="s">
        <v>39</v>
      </c>
      <c r="CB4" s="32" t="s">
        <v>40</v>
      </c>
      <c r="CC4" s="36" t="s">
        <v>41</v>
      </c>
      <c r="CD4" s="31" t="s">
        <v>39</v>
      </c>
      <c r="CE4" s="32" t="s">
        <v>40</v>
      </c>
      <c r="CF4" s="36" t="s">
        <v>41</v>
      </c>
      <c r="CG4" s="31" t="s">
        <v>39</v>
      </c>
      <c r="CH4" s="32" t="s">
        <v>40</v>
      </c>
      <c r="CI4" s="36" t="s">
        <v>41</v>
      </c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87" ht="12.75">
      <c r="A5" s="47"/>
      <c r="B5" s="95"/>
      <c r="C5" s="54"/>
      <c r="D5" s="95"/>
      <c r="E5" s="54"/>
      <c r="F5" s="95"/>
      <c r="G5" s="54"/>
      <c r="H5" s="95"/>
      <c r="I5" s="52"/>
      <c r="J5" s="11"/>
      <c r="K5" s="40"/>
      <c r="L5" s="52"/>
      <c r="M5" s="11"/>
      <c r="N5" s="46"/>
      <c r="O5" s="53"/>
      <c r="Q5" s="46"/>
      <c r="R5" s="53"/>
      <c r="T5" s="40"/>
      <c r="U5" s="54"/>
      <c r="V5" s="1"/>
      <c r="W5" s="40"/>
      <c r="X5" s="95"/>
      <c r="Y5" s="52"/>
      <c r="Z5" s="11"/>
      <c r="AA5" s="40"/>
      <c r="AB5" s="52"/>
      <c r="AC5" s="11"/>
      <c r="AD5" s="46"/>
      <c r="AE5" s="53"/>
      <c r="AG5" s="46"/>
      <c r="AH5" s="53"/>
      <c r="AJ5" s="40"/>
      <c r="AK5" s="54"/>
      <c r="AL5" s="1"/>
      <c r="AM5" s="40"/>
      <c r="AN5" s="95"/>
      <c r="AO5" s="52"/>
      <c r="AP5" s="11"/>
      <c r="AQ5" s="40"/>
      <c r="AR5" s="52"/>
      <c r="AS5" s="11"/>
      <c r="AT5" s="46"/>
      <c r="AU5" s="53"/>
      <c r="AW5" s="46"/>
      <c r="AX5" s="53"/>
      <c r="AZ5" s="40"/>
      <c r="BA5" s="54"/>
      <c r="BB5" s="1"/>
      <c r="BC5" s="40"/>
      <c r="BD5" s="95"/>
      <c r="BE5" s="52"/>
      <c r="BF5" s="11"/>
      <c r="BG5" s="40"/>
      <c r="BH5" s="52"/>
      <c r="BI5" s="11"/>
      <c r="BJ5" s="46"/>
      <c r="BK5" s="53"/>
      <c r="BM5" s="46"/>
      <c r="BN5" s="53"/>
      <c r="BP5" s="40"/>
      <c r="BQ5" s="54"/>
      <c r="BR5" s="1"/>
      <c r="BS5" s="40"/>
      <c r="BT5" s="95"/>
      <c r="BU5" s="52"/>
      <c r="BV5" s="11"/>
      <c r="BW5" s="40"/>
      <c r="BX5" s="52"/>
      <c r="BY5" s="11"/>
      <c r="BZ5" s="46"/>
      <c r="CA5" s="53"/>
      <c r="CC5" s="46"/>
      <c r="CD5" s="53"/>
      <c r="CF5" s="40"/>
      <c r="CG5" s="54"/>
      <c r="CH5" s="1"/>
      <c r="CI5" s="40"/>
    </row>
    <row r="6" spans="1:87" s="68" customFormat="1" ht="12.75">
      <c r="A6" s="65" t="s">
        <v>11</v>
      </c>
      <c r="B6" s="97"/>
      <c r="C6" s="66">
        <v>470</v>
      </c>
      <c r="D6" s="97"/>
      <c r="E6" s="66">
        <v>699.5</v>
      </c>
      <c r="F6" s="97"/>
      <c r="G6" s="66">
        <v>995.8</v>
      </c>
      <c r="H6" s="97"/>
      <c r="I6" s="66">
        <f>K6-J6</f>
        <v>257.2</v>
      </c>
      <c r="J6" s="66">
        <v>14.2</v>
      </c>
      <c r="K6" s="67">
        <v>271.4</v>
      </c>
      <c r="L6" s="66">
        <f>N6-M6</f>
        <v>308.5</v>
      </c>
      <c r="M6" s="66">
        <v>34.1</v>
      </c>
      <c r="N6" s="67">
        <v>342.6</v>
      </c>
      <c r="O6" s="66">
        <f>Q6-P6</f>
        <v>363.9</v>
      </c>
      <c r="P6" s="66">
        <v>54</v>
      </c>
      <c r="Q6" s="67">
        <v>417.9</v>
      </c>
      <c r="R6" s="66">
        <f>T6-S6</f>
        <v>378.20000000000005</v>
      </c>
      <c r="S6" s="66">
        <v>45.9</v>
      </c>
      <c r="T6" s="67">
        <v>424.1</v>
      </c>
      <c r="U6" s="66">
        <f>W6-V6</f>
        <v>1307.8</v>
      </c>
      <c r="V6" s="66">
        <f>J6+M6+P6+S6</f>
        <v>148.2</v>
      </c>
      <c r="W6" s="67">
        <f>K6+N6+Q6+T6</f>
        <v>1456</v>
      </c>
      <c r="X6" s="97"/>
      <c r="Y6" s="66">
        <f>AA6-Z6</f>
        <v>390.5</v>
      </c>
      <c r="Z6" s="66">
        <f>50.3-4.5</f>
        <v>45.8</v>
      </c>
      <c r="AA6" s="67">
        <v>436.3</v>
      </c>
      <c r="AB6" s="66">
        <f>AD6-AC6</f>
        <v>538.8</v>
      </c>
      <c r="AC6" s="66">
        <f>56.6+4.5</f>
        <v>61.1</v>
      </c>
      <c r="AD6" s="67">
        <v>599.9</v>
      </c>
      <c r="AE6" s="66">
        <f>AG6-AF6</f>
        <v>503.69999999999993</v>
      </c>
      <c r="AF6" s="66">
        <f>59+4.6</f>
        <v>63.6</v>
      </c>
      <c r="AG6" s="67">
        <v>567.3</v>
      </c>
      <c r="AH6" s="66">
        <f>AJ6-AI6</f>
        <v>517.6999999999999</v>
      </c>
      <c r="AI6" s="66">
        <f>52.6-4.4</f>
        <v>48.2</v>
      </c>
      <c r="AJ6" s="67">
        <v>565.9</v>
      </c>
      <c r="AK6" s="66">
        <f>AM6-AL6</f>
        <v>1950.7</v>
      </c>
      <c r="AL6" s="66">
        <f>Z6+AC6+AF6+AI6</f>
        <v>218.7</v>
      </c>
      <c r="AM6" s="67">
        <f>AA6+AD6+AG6+AJ6</f>
        <v>2169.4</v>
      </c>
      <c r="AN6" s="97"/>
      <c r="AO6" s="66">
        <f>AQ6-AP6</f>
        <v>515.3</v>
      </c>
      <c r="AP6" s="66">
        <v>68</v>
      </c>
      <c r="AQ6" s="67">
        <v>583.3</v>
      </c>
      <c r="AR6" s="66">
        <f>AT6-AS6</f>
        <v>561.3</v>
      </c>
      <c r="AS6" s="66">
        <v>97.6</v>
      </c>
      <c r="AT6" s="67">
        <v>658.9</v>
      </c>
      <c r="AU6" s="66">
        <f>AW6-AV6</f>
        <v>610.7</v>
      </c>
      <c r="AV6" s="66">
        <v>118.8</v>
      </c>
      <c r="AW6" s="67">
        <v>729.5</v>
      </c>
      <c r="AX6" s="66">
        <f>AZ6-AY6</f>
        <v>637.1999999999999</v>
      </c>
      <c r="AY6" s="66">
        <v>109.1</v>
      </c>
      <c r="AZ6" s="67">
        <v>746.3</v>
      </c>
      <c r="BA6" s="66">
        <f>BC6-BB6</f>
        <v>2324.5</v>
      </c>
      <c r="BB6" s="66">
        <f>AP6+AS6+AV6+AY6</f>
        <v>393.5</v>
      </c>
      <c r="BC6" s="67">
        <f>AQ6+AT6+AW6+AZ6</f>
        <v>2718</v>
      </c>
      <c r="BD6" s="97"/>
      <c r="BE6" s="66">
        <f>BG6-BF6</f>
        <v>550.5999999999999</v>
      </c>
      <c r="BF6" s="66">
        <v>98.2</v>
      </c>
      <c r="BG6" s="67">
        <v>648.8</v>
      </c>
      <c r="BH6" s="66">
        <f>BJ6-BI6</f>
        <v>647.6</v>
      </c>
      <c r="BI6" s="66">
        <v>112.1</v>
      </c>
      <c r="BJ6" s="67">
        <v>759.7</v>
      </c>
      <c r="BK6" s="66">
        <f>BM6-BL6</f>
        <v>696.8</v>
      </c>
      <c r="BL6" s="66">
        <v>87.1</v>
      </c>
      <c r="BM6" s="67">
        <v>783.9</v>
      </c>
      <c r="BN6" s="66">
        <f>BP6-BO6</f>
        <v>696.5</v>
      </c>
      <c r="BO6" s="66">
        <v>35.5</v>
      </c>
      <c r="BP6" s="67">
        <v>732</v>
      </c>
      <c r="BQ6" s="66">
        <f>BS6-BR6</f>
        <v>2591.5</v>
      </c>
      <c r="BR6" s="66">
        <f>BF6+BI6+BL6+BO6</f>
        <v>332.9</v>
      </c>
      <c r="BS6" s="67">
        <f>BG6+BJ6+BM6+BP6</f>
        <v>2924.4</v>
      </c>
      <c r="BT6" s="97"/>
      <c r="BU6" s="66">
        <f>BW6-BV6</f>
        <v>629.5</v>
      </c>
      <c r="BV6" s="66">
        <v>7.1</v>
      </c>
      <c r="BW6" s="67">
        <v>636.6</v>
      </c>
      <c r="BX6" s="66">
        <f>BZ6-BY6</f>
        <v>0</v>
      </c>
      <c r="BY6" s="66"/>
      <c r="BZ6" s="67"/>
      <c r="CA6" s="66">
        <f>CC6-CB6</f>
        <v>0</v>
      </c>
      <c r="CB6" s="66"/>
      <c r="CC6" s="67"/>
      <c r="CD6" s="66">
        <f>CF6-CE6</f>
        <v>0</v>
      </c>
      <c r="CE6" s="66"/>
      <c r="CF6" s="67"/>
      <c r="CG6" s="66">
        <f>CI6-CH6</f>
        <v>629.5</v>
      </c>
      <c r="CH6" s="66">
        <f>BV6+BY6+CB6+CE6</f>
        <v>7.1</v>
      </c>
      <c r="CI6" s="67">
        <f>BW6+BZ6+CC6+CF6</f>
        <v>636.6</v>
      </c>
    </row>
    <row r="7" spans="1:87" ht="12.75">
      <c r="A7" s="7" t="s">
        <v>1</v>
      </c>
      <c r="B7" s="98"/>
      <c r="C7" s="18">
        <v>0.298</v>
      </c>
      <c r="D7" s="98"/>
      <c r="E7" s="18">
        <f>E6/C6-1</f>
        <v>0.48829787234042543</v>
      </c>
      <c r="F7" s="98"/>
      <c r="G7" s="18">
        <f>G6/E6-1</f>
        <v>0.42358827734095783</v>
      </c>
      <c r="H7" s="98"/>
      <c r="I7" s="18">
        <f>I6/159.5-1</f>
        <v>0.612539184952978</v>
      </c>
      <c r="J7" s="25"/>
      <c r="K7" s="41">
        <f>K6/159.5-1</f>
        <v>0.7015673981191222</v>
      </c>
      <c r="L7" s="18">
        <f>L6/235.4-1</f>
        <v>0.31053525913338986</v>
      </c>
      <c r="M7" s="25"/>
      <c r="N7" s="41">
        <f>N6/235.4-1</f>
        <v>0.4553950722175022</v>
      </c>
      <c r="O7" s="18">
        <f>O6/295.4-1</f>
        <v>0.23188896411645232</v>
      </c>
      <c r="P7" s="25"/>
      <c r="Q7" s="41">
        <f>Q6/295.4-1</f>
        <v>0.4146919431279621</v>
      </c>
      <c r="R7" s="18">
        <f>R6/305.5-1</f>
        <v>0.23797054009819973</v>
      </c>
      <c r="S7" s="25"/>
      <c r="T7" s="41">
        <f>T6/305.5-1</f>
        <v>0.38821603927986925</v>
      </c>
      <c r="U7" s="18">
        <f>U6/G6-1</f>
        <v>0.3133159268929504</v>
      </c>
      <c r="V7" s="25"/>
      <c r="W7" s="60">
        <f>W6/995.8-1</f>
        <v>0.4621409921671018</v>
      </c>
      <c r="X7" s="98"/>
      <c r="Y7" s="18">
        <f>Y6/I6-1</f>
        <v>0.5182737169517886</v>
      </c>
      <c r="Z7" s="25">
        <f>Z6/J6-1</f>
        <v>2.2253521126760565</v>
      </c>
      <c r="AA7" s="41">
        <f>AA6/271.4-1</f>
        <v>0.6075902726602802</v>
      </c>
      <c r="AB7" s="18">
        <f>AB6/L6-1</f>
        <v>0.7465153970826579</v>
      </c>
      <c r="AC7" s="25">
        <f>AC6/M6-1</f>
        <v>0.7917888563049853</v>
      </c>
      <c r="AD7" s="41">
        <f>AD6/342.6-1</f>
        <v>0.751021599532983</v>
      </c>
      <c r="AE7" s="18">
        <f>AE6/O6-1</f>
        <v>0.38417147568013177</v>
      </c>
      <c r="AF7" s="25">
        <f>AF6/P6-1</f>
        <v>0.1777777777777778</v>
      </c>
      <c r="AG7" s="41">
        <f>AG6/417.9-1</f>
        <v>0.35750179468772436</v>
      </c>
      <c r="AH7" s="18">
        <f>AH6/R6-1</f>
        <v>0.3688524590163931</v>
      </c>
      <c r="AI7" s="25">
        <f>AI6/S6-1</f>
        <v>0.050108932461873756</v>
      </c>
      <c r="AJ7" s="41">
        <f>AJ6/424.1-1</f>
        <v>0.33435510492808285</v>
      </c>
      <c r="AK7" s="18">
        <f>AK6/U6-1</f>
        <v>0.4915889279706378</v>
      </c>
      <c r="AL7" s="25">
        <f>AL6/V6-1</f>
        <v>0.4757085020242915</v>
      </c>
      <c r="AM7" s="60">
        <f>AM6/1456-1</f>
        <v>0.4899725274725275</v>
      </c>
      <c r="AN7" s="98"/>
      <c r="AO7" s="18">
        <f aca="true" t="shared" si="0" ref="AO7:BC7">AO6/Y6-1</f>
        <v>0.31959026888604347</v>
      </c>
      <c r="AP7" s="25">
        <f t="shared" si="0"/>
        <v>0.4847161572052403</v>
      </c>
      <c r="AQ7" s="41">
        <f t="shared" si="0"/>
        <v>0.33692413476965366</v>
      </c>
      <c r="AR7" s="18">
        <f t="shared" si="0"/>
        <v>0.041759465478841795</v>
      </c>
      <c r="AS7" s="25">
        <f t="shared" si="0"/>
        <v>0.597381342062193</v>
      </c>
      <c r="AT7" s="41">
        <f t="shared" si="0"/>
        <v>0.09834972495415895</v>
      </c>
      <c r="AU7" s="18">
        <f t="shared" si="0"/>
        <v>0.21242803255906328</v>
      </c>
      <c r="AV7" s="25">
        <f t="shared" si="0"/>
        <v>0.8679245283018866</v>
      </c>
      <c r="AW7" s="41">
        <f t="shared" si="0"/>
        <v>0.28591574123038965</v>
      </c>
      <c r="AX7" s="18">
        <f t="shared" si="0"/>
        <v>0.230828665250145</v>
      </c>
      <c r="AY7" s="25">
        <f t="shared" si="0"/>
        <v>1.2634854771784232</v>
      </c>
      <c r="AZ7" s="41">
        <f t="shared" si="0"/>
        <v>0.31878423749779117</v>
      </c>
      <c r="BA7" s="18">
        <f t="shared" si="0"/>
        <v>0.19162351976213654</v>
      </c>
      <c r="BB7" s="25">
        <f t="shared" si="0"/>
        <v>0.799268404206676</v>
      </c>
      <c r="BC7" s="41">
        <f t="shared" si="0"/>
        <v>0.25288098091638234</v>
      </c>
      <c r="BD7" s="98"/>
      <c r="BE7" s="18">
        <f aca="true" t="shared" si="1" ref="BE7:BP7">BE6/AO6-1</f>
        <v>0.06850378420337666</v>
      </c>
      <c r="BF7" s="25">
        <f t="shared" si="1"/>
        <v>0.4441176470588235</v>
      </c>
      <c r="BG7" s="41">
        <f t="shared" si="1"/>
        <v>0.11229213097891311</v>
      </c>
      <c r="BH7" s="18">
        <f t="shared" si="1"/>
        <v>0.15375022269730998</v>
      </c>
      <c r="BI7" s="25">
        <f t="shared" si="1"/>
        <v>0.14856557377049184</v>
      </c>
      <c r="BJ7" s="41">
        <f t="shared" si="1"/>
        <v>0.15298224313249364</v>
      </c>
      <c r="BK7" s="18">
        <f t="shared" si="1"/>
        <v>0.14098575405272618</v>
      </c>
      <c r="BL7" s="25">
        <f t="shared" si="1"/>
        <v>-0.26683501683501687</v>
      </c>
      <c r="BM7" s="41">
        <f t="shared" si="1"/>
        <v>0.0745716244002741</v>
      </c>
      <c r="BN7" s="18">
        <f t="shared" si="1"/>
        <v>0.09306340238543642</v>
      </c>
      <c r="BO7" s="25">
        <f t="shared" si="1"/>
        <v>-0.6746104491292393</v>
      </c>
      <c r="BP7" s="41">
        <f t="shared" si="1"/>
        <v>-0.01916119522980031</v>
      </c>
      <c r="BQ7" s="18">
        <f>BQ6/BA6-1</f>
        <v>0.11486341148634116</v>
      </c>
      <c r="BR7" s="25">
        <f>BR6/BB6-1</f>
        <v>-0.15400254129606106</v>
      </c>
      <c r="BS7" s="41">
        <f>BS6/BC6-1</f>
        <v>0.07593818984547474</v>
      </c>
      <c r="BT7" s="98"/>
      <c r="BU7" s="18">
        <f aca="true" t="shared" si="2" ref="BU7:CI7">BU6/BE6-1</f>
        <v>0.1432982201235018</v>
      </c>
      <c r="BV7" s="25">
        <f t="shared" si="2"/>
        <v>-0.9276985743380856</v>
      </c>
      <c r="BW7" s="41">
        <f t="shared" si="2"/>
        <v>-0.018803945745992534</v>
      </c>
      <c r="BX7" s="18">
        <f t="shared" si="2"/>
        <v>-1</v>
      </c>
      <c r="BY7" s="25">
        <f t="shared" si="2"/>
        <v>-1</v>
      </c>
      <c r="BZ7" s="41">
        <f t="shared" si="2"/>
        <v>-1</v>
      </c>
      <c r="CA7" s="18">
        <f t="shared" si="2"/>
        <v>-1</v>
      </c>
      <c r="CB7" s="25">
        <f t="shared" si="2"/>
        <v>-1</v>
      </c>
      <c r="CC7" s="41">
        <f t="shared" si="2"/>
        <v>-1</v>
      </c>
      <c r="CD7" s="18">
        <f t="shared" si="2"/>
        <v>-1</v>
      </c>
      <c r="CE7" s="25">
        <f t="shared" si="2"/>
        <v>-1</v>
      </c>
      <c r="CF7" s="41">
        <f t="shared" si="2"/>
        <v>-1</v>
      </c>
      <c r="CG7" s="18">
        <f t="shared" si="2"/>
        <v>-0.7570904881342851</v>
      </c>
      <c r="CH7" s="25">
        <f t="shared" si="2"/>
        <v>-0.978672273956143</v>
      </c>
      <c r="CI7" s="41">
        <f t="shared" si="2"/>
        <v>-0.7823143208863357</v>
      </c>
    </row>
    <row r="8" spans="1:87" ht="12.75">
      <c r="A8" s="7"/>
      <c r="B8" s="98"/>
      <c r="C8" s="18"/>
      <c r="D8" s="98"/>
      <c r="E8" s="18"/>
      <c r="F8" s="98"/>
      <c r="G8" s="18"/>
      <c r="H8" s="98"/>
      <c r="I8" s="18"/>
      <c r="J8" s="25"/>
      <c r="K8" s="41"/>
      <c r="L8" s="18"/>
      <c r="M8" s="25"/>
      <c r="N8" s="41"/>
      <c r="O8" s="18"/>
      <c r="P8" s="25"/>
      <c r="Q8" s="41"/>
      <c r="R8" s="18"/>
      <c r="S8" s="25"/>
      <c r="T8" s="41"/>
      <c r="U8" s="18"/>
      <c r="V8" s="25"/>
      <c r="W8" s="60"/>
      <c r="X8" s="98"/>
      <c r="Y8" s="18"/>
      <c r="Z8" s="25"/>
      <c r="AA8" s="41"/>
      <c r="AB8" s="18"/>
      <c r="AC8" s="25"/>
      <c r="AD8" s="41"/>
      <c r="AE8" s="18"/>
      <c r="AF8" s="25"/>
      <c r="AG8" s="41"/>
      <c r="AH8" s="18"/>
      <c r="AI8" s="25"/>
      <c r="AJ8" s="41"/>
      <c r="AK8" s="18"/>
      <c r="AL8" s="25"/>
      <c r="AM8" s="60"/>
      <c r="AN8" s="98"/>
      <c r="AO8" s="18"/>
      <c r="AP8" s="25"/>
      <c r="AQ8" s="41"/>
      <c r="AR8" s="18"/>
      <c r="AS8" s="25"/>
      <c r="AT8" s="41"/>
      <c r="AU8" s="18"/>
      <c r="AV8" s="25"/>
      <c r="AW8" s="41"/>
      <c r="AX8" s="18"/>
      <c r="AY8" s="25"/>
      <c r="AZ8" s="41"/>
      <c r="BA8" s="18"/>
      <c r="BB8" s="25"/>
      <c r="BC8" s="60"/>
      <c r="BD8" s="98"/>
      <c r="BE8" s="18"/>
      <c r="BF8" s="25"/>
      <c r="BG8" s="41"/>
      <c r="BH8" s="18"/>
      <c r="BI8" s="25"/>
      <c r="BJ8" s="41"/>
      <c r="BK8" s="18"/>
      <c r="BL8" s="25"/>
      <c r="BM8" s="41"/>
      <c r="BN8" s="18"/>
      <c r="BO8" s="25"/>
      <c r="BP8" s="41"/>
      <c r="BQ8" s="18"/>
      <c r="BR8" s="25"/>
      <c r="BS8" s="60"/>
      <c r="BT8" s="98"/>
      <c r="BU8" s="18"/>
      <c r="BV8" s="25"/>
      <c r="BW8" s="41"/>
      <c r="BX8" s="18"/>
      <c r="BY8" s="25"/>
      <c r="BZ8" s="41"/>
      <c r="CA8" s="18"/>
      <c r="CB8" s="25"/>
      <c r="CC8" s="41"/>
      <c r="CD8" s="18"/>
      <c r="CE8" s="25"/>
      <c r="CF8" s="41"/>
      <c r="CG8" s="18"/>
      <c r="CH8" s="25"/>
      <c r="CI8" s="60"/>
    </row>
    <row r="9" spans="1:87" s="75" customFormat="1" ht="15">
      <c r="A9" s="69" t="s">
        <v>38</v>
      </c>
      <c r="B9" s="99"/>
      <c r="C9" s="70">
        <f>E9-D9</f>
        <v>0</v>
      </c>
      <c r="D9" s="99"/>
      <c r="E9" s="70">
        <f>G9-F9</f>
        <v>0</v>
      </c>
      <c r="F9" s="99"/>
      <c r="G9" s="70">
        <f>I9-H9</f>
        <v>0</v>
      </c>
      <c r="H9" s="99"/>
      <c r="I9" s="70">
        <f>K9-J9</f>
        <v>0</v>
      </c>
      <c r="J9" s="71"/>
      <c r="K9" s="72">
        <v>0</v>
      </c>
      <c r="L9" s="70">
        <f>N9-M9</f>
        <v>0</v>
      </c>
      <c r="M9" s="71"/>
      <c r="N9" s="72">
        <v>0</v>
      </c>
      <c r="O9" s="70">
        <f>Q9-P9</f>
        <v>0</v>
      </c>
      <c r="P9" s="71"/>
      <c r="Q9" s="72">
        <v>0</v>
      </c>
      <c r="R9" s="70">
        <f>T9-S9</f>
        <v>42.7</v>
      </c>
      <c r="S9" s="71"/>
      <c r="T9" s="72">
        <v>42.7</v>
      </c>
      <c r="U9" s="70">
        <f>W9-V9</f>
        <v>42.7</v>
      </c>
      <c r="V9" s="73">
        <f aca="true" t="shared" si="3" ref="V9:W11">J9+M9+P9+S9</f>
        <v>0</v>
      </c>
      <c r="W9" s="74">
        <f t="shared" si="3"/>
        <v>42.7</v>
      </c>
      <c r="X9" s="99"/>
      <c r="Y9" s="70">
        <f>AA9-Z9</f>
        <v>0</v>
      </c>
      <c r="Z9" s="71"/>
      <c r="AA9" s="72">
        <v>0</v>
      </c>
      <c r="AB9" s="70">
        <f>AD9-AC9</f>
        <v>0</v>
      </c>
      <c r="AC9" s="71"/>
      <c r="AD9" s="72">
        <v>0</v>
      </c>
      <c r="AE9" s="70">
        <f>AG9-AF9</f>
        <v>0</v>
      </c>
      <c r="AF9" s="71"/>
      <c r="AG9" s="72">
        <v>0</v>
      </c>
      <c r="AH9" s="70">
        <f>AJ9-AI9</f>
        <v>5</v>
      </c>
      <c r="AI9" s="71"/>
      <c r="AJ9" s="72">
        <v>5</v>
      </c>
      <c r="AK9" s="70">
        <f>AM9-AL9</f>
        <v>5</v>
      </c>
      <c r="AL9" s="73">
        <f aca="true" t="shared" si="4" ref="AL9:AM11">Z9+AC9+AF9+AI9</f>
        <v>0</v>
      </c>
      <c r="AM9" s="74">
        <f t="shared" si="4"/>
        <v>5</v>
      </c>
      <c r="AN9" s="99"/>
      <c r="AO9" s="70">
        <f>AQ9-AP9</f>
        <v>0</v>
      </c>
      <c r="AP9" s="71"/>
      <c r="AQ9" s="72">
        <v>0</v>
      </c>
      <c r="AR9" s="70">
        <f>AT9-AS9</f>
        <v>0</v>
      </c>
      <c r="AS9" s="71"/>
      <c r="AT9" s="72">
        <v>0</v>
      </c>
      <c r="AU9" s="70">
        <f>AW9-AV9</f>
        <v>0</v>
      </c>
      <c r="AV9" s="71"/>
      <c r="AW9" s="72">
        <v>0</v>
      </c>
      <c r="AX9" s="70">
        <f>AZ9-AY9</f>
        <v>0</v>
      </c>
      <c r="AY9" s="71"/>
      <c r="AZ9" s="72">
        <v>0</v>
      </c>
      <c r="BA9" s="70">
        <f>BC9-BB9</f>
        <v>0</v>
      </c>
      <c r="BB9" s="73">
        <f aca="true" t="shared" si="5" ref="BB9:BC11">AP9+AS9+AV9+AY9</f>
        <v>0</v>
      </c>
      <c r="BC9" s="74">
        <f t="shared" si="5"/>
        <v>0</v>
      </c>
      <c r="BD9" s="99"/>
      <c r="BE9" s="70">
        <f>BG9-BF9</f>
        <v>0</v>
      </c>
      <c r="BF9" s="71"/>
      <c r="BG9" s="72">
        <v>0</v>
      </c>
      <c r="BH9" s="70">
        <f>BJ9-BI9</f>
        <v>0</v>
      </c>
      <c r="BI9" s="71"/>
      <c r="BJ9" s="72">
        <v>0</v>
      </c>
      <c r="BK9" s="70">
        <f>BM9-BL9</f>
        <v>0</v>
      </c>
      <c r="BL9" s="71"/>
      <c r="BM9" s="72">
        <v>0</v>
      </c>
      <c r="BN9" s="70">
        <f>BP9-BO9</f>
        <v>0</v>
      </c>
      <c r="BO9" s="71"/>
      <c r="BP9" s="72"/>
      <c r="BQ9" s="70">
        <f>BS9-BR9</f>
        <v>0</v>
      </c>
      <c r="BR9" s="73">
        <f aca="true" t="shared" si="6" ref="BR9:BS11">BF9+BI9+BL9+BO9</f>
        <v>0</v>
      </c>
      <c r="BS9" s="74">
        <f t="shared" si="6"/>
        <v>0</v>
      </c>
      <c r="BT9" s="99"/>
      <c r="BU9" s="70">
        <f>BW9-BV9</f>
        <v>0</v>
      </c>
      <c r="BV9" s="71"/>
      <c r="BW9" s="72"/>
      <c r="BX9" s="70">
        <f>BZ9-BY9</f>
        <v>0</v>
      </c>
      <c r="BY9" s="71"/>
      <c r="BZ9" s="72"/>
      <c r="CA9" s="70">
        <f>CC9-CB9</f>
        <v>0</v>
      </c>
      <c r="CB9" s="71"/>
      <c r="CC9" s="72"/>
      <c r="CD9" s="70">
        <f>CF9-CE9</f>
        <v>0</v>
      </c>
      <c r="CE9" s="71"/>
      <c r="CF9" s="72"/>
      <c r="CG9" s="70">
        <f>CI9-CH9</f>
        <v>0</v>
      </c>
      <c r="CH9" s="73">
        <f aca="true" t="shared" si="7" ref="CH9:CI11">BV9+BY9+CB9+CE9</f>
        <v>0</v>
      </c>
      <c r="CI9" s="74">
        <f t="shared" si="7"/>
        <v>0</v>
      </c>
    </row>
    <row r="10" spans="1:87" s="68" customFormat="1" ht="12.75">
      <c r="A10" s="76" t="s">
        <v>13</v>
      </c>
      <c r="B10" s="99"/>
      <c r="C10" s="70">
        <v>186.8</v>
      </c>
      <c r="D10" s="99"/>
      <c r="E10" s="70">
        <v>284</v>
      </c>
      <c r="F10" s="99"/>
      <c r="G10" s="70">
        <v>435.7</v>
      </c>
      <c r="H10" s="99"/>
      <c r="I10" s="70">
        <f>K10-J10</f>
        <v>101.8</v>
      </c>
      <c r="J10" s="77">
        <v>13.9</v>
      </c>
      <c r="K10" s="78">
        <v>115.7</v>
      </c>
      <c r="L10" s="70">
        <f>N10-M10</f>
        <v>130.9</v>
      </c>
      <c r="M10" s="77">
        <v>31.4</v>
      </c>
      <c r="N10" s="78">
        <v>162.3</v>
      </c>
      <c r="O10" s="70">
        <f>Q10-P10</f>
        <v>176.89999999999998</v>
      </c>
      <c r="P10" s="77">
        <v>50.7</v>
      </c>
      <c r="Q10" s="78">
        <v>227.6</v>
      </c>
      <c r="R10" s="70">
        <f>T10-S10</f>
        <v>192.5</v>
      </c>
      <c r="S10" s="77">
        <v>41.8</v>
      </c>
      <c r="T10" s="78">
        <v>234.3</v>
      </c>
      <c r="U10" s="70">
        <f>W10-V10</f>
        <v>602.1000000000001</v>
      </c>
      <c r="V10" s="73">
        <f t="shared" si="3"/>
        <v>137.8</v>
      </c>
      <c r="W10" s="74">
        <f t="shared" si="3"/>
        <v>739.9000000000001</v>
      </c>
      <c r="X10" s="99"/>
      <c r="Y10" s="70">
        <f>AA10-Z10</f>
        <v>183.5</v>
      </c>
      <c r="Z10" s="77">
        <f>42.1+0.8+4.6-4.5</f>
        <v>43</v>
      </c>
      <c r="AA10" s="78">
        <v>226.5</v>
      </c>
      <c r="AB10" s="70">
        <f>AD10-AC10</f>
        <v>284.6</v>
      </c>
      <c r="AC10" s="77">
        <f>44.1+0.8+4.5+4.5</f>
        <v>53.9</v>
      </c>
      <c r="AD10" s="78">
        <v>338.5</v>
      </c>
      <c r="AE10" s="70">
        <f>AG10-AF10</f>
        <v>250.9</v>
      </c>
      <c r="AF10" s="77">
        <f>46.1+0.8+4.4+4.6</f>
        <v>55.9</v>
      </c>
      <c r="AG10" s="78">
        <v>306.8</v>
      </c>
      <c r="AH10" s="70">
        <f>AJ10-AI10</f>
        <v>275.09999999999997</v>
      </c>
      <c r="AI10" s="77">
        <f>44.1+0.8+4.7-4.5</f>
        <v>45.1</v>
      </c>
      <c r="AJ10" s="78">
        <v>320.2</v>
      </c>
      <c r="AK10" s="70">
        <f>AM10-AL10</f>
        <v>994.1</v>
      </c>
      <c r="AL10" s="73">
        <f t="shared" si="4"/>
        <v>197.9</v>
      </c>
      <c r="AM10" s="74">
        <f t="shared" si="4"/>
        <v>1192</v>
      </c>
      <c r="AN10" s="99"/>
      <c r="AO10" s="70">
        <f>AQ10-AP10</f>
        <v>262.9</v>
      </c>
      <c r="AP10" s="77">
        <f>65.9+1</f>
        <v>66.9</v>
      </c>
      <c r="AQ10" s="78">
        <v>329.8</v>
      </c>
      <c r="AR10" s="70">
        <f>AT10-AS10</f>
        <v>296.7</v>
      </c>
      <c r="AS10" s="77">
        <f>82.9+3.8</f>
        <v>86.7</v>
      </c>
      <c r="AT10" s="78">
        <v>383.4</v>
      </c>
      <c r="AU10" s="70">
        <f>AW10-AV10</f>
        <v>305.79999999999995</v>
      </c>
      <c r="AV10" s="77">
        <f>102.6+5.5</f>
        <v>108.1</v>
      </c>
      <c r="AW10" s="78">
        <v>413.9</v>
      </c>
      <c r="AX10" s="70">
        <f>AZ10-AY10</f>
        <v>293.3</v>
      </c>
      <c r="AY10" s="77">
        <f>96+5.2</f>
        <v>101.2</v>
      </c>
      <c r="AZ10" s="78">
        <v>394.5</v>
      </c>
      <c r="BA10" s="70">
        <f>BC10-BB10</f>
        <v>1158.6999999999998</v>
      </c>
      <c r="BB10" s="73">
        <f t="shared" si="5"/>
        <v>362.90000000000003</v>
      </c>
      <c r="BC10" s="74">
        <f t="shared" si="5"/>
        <v>1521.6</v>
      </c>
      <c r="BD10" s="99"/>
      <c r="BE10" s="70">
        <f>BG10-BF10</f>
        <v>262.70000000000005</v>
      </c>
      <c r="BF10" s="77">
        <f>91.6+5.5</f>
        <v>97.1</v>
      </c>
      <c r="BG10" s="78">
        <v>359.8</v>
      </c>
      <c r="BH10" s="70">
        <f>BJ10-BI10</f>
        <v>338.4</v>
      </c>
      <c r="BI10" s="77">
        <v>112.3</v>
      </c>
      <c r="BJ10" s="78">
        <v>450.7</v>
      </c>
      <c r="BK10" s="70">
        <f>BM10-BL10</f>
        <v>383.7</v>
      </c>
      <c r="BL10" s="77">
        <v>98.8</v>
      </c>
      <c r="BM10" s="78">
        <v>482.5</v>
      </c>
      <c r="BN10" s="70">
        <f>BP10-BO10</f>
        <v>504.59999999999997</v>
      </c>
      <c r="BO10" s="77">
        <v>32.7</v>
      </c>
      <c r="BP10" s="78">
        <v>537.3</v>
      </c>
      <c r="BQ10" s="70">
        <f>BS10-BR10</f>
        <v>1489.4</v>
      </c>
      <c r="BR10" s="73">
        <f t="shared" si="6"/>
        <v>340.9</v>
      </c>
      <c r="BS10" s="74">
        <f t="shared" si="6"/>
        <v>1830.3</v>
      </c>
      <c r="BT10" s="99"/>
      <c r="BU10" s="70">
        <f>BW10-BV10</f>
        <v>365.3</v>
      </c>
      <c r="BV10" s="77">
        <v>5.4</v>
      </c>
      <c r="BW10" s="78">
        <v>370.7</v>
      </c>
      <c r="BX10" s="70">
        <f>BZ10-BY10</f>
        <v>0</v>
      </c>
      <c r="BY10" s="77"/>
      <c r="BZ10" s="78"/>
      <c r="CA10" s="70">
        <f>CC10-CB10</f>
        <v>0</v>
      </c>
      <c r="CB10" s="77"/>
      <c r="CC10" s="78"/>
      <c r="CD10" s="70">
        <f>CF10-CE10</f>
        <v>0</v>
      </c>
      <c r="CE10" s="77"/>
      <c r="CF10" s="78"/>
      <c r="CG10" s="70">
        <f>CI10-CH10</f>
        <v>365.3</v>
      </c>
      <c r="CH10" s="73">
        <f t="shared" si="7"/>
        <v>5.4</v>
      </c>
      <c r="CI10" s="74">
        <f t="shared" si="7"/>
        <v>370.7</v>
      </c>
    </row>
    <row r="11" spans="1:87" s="68" customFormat="1" ht="12.75">
      <c r="A11" s="76" t="s">
        <v>14</v>
      </c>
      <c r="B11" s="99"/>
      <c r="C11" s="70">
        <v>13.2</v>
      </c>
      <c r="D11" s="99"/>
      <c r="E11" s="70">
        <v>29.4</v>
      </c>
      <c r="F11" s="99"/>
      <c r="G11" s="70">
        <v>52.7</v>
      </c>
      <c r="H11" s="99"/>
      <c r="I11" s="70">
        <f>K11-J11</f>
        <v>16.3</v>
      </c>
      <c r="J11" s="77"/>
      <c r="K11" s="78">
        <v>16.3</v>
      </c>
      <c r="L11" s="70">
        <f>N11-M11</f>
        <v>16.6</v>
      </c>
      <c r="M11" s="77"/>
      <c r="N11" s="78">
        <v>16.6</v>
      </c>
      <c r="O11" s="70">
        <f>Q11-P11</f>
        <v>16.5</v>
      </c>
      <c r="P11" s="77"/>
      <c r="Q11" s="78">
        <v>16.5</v>
      </c>
      <c r="R11" s="70">
        <f>T11-S11</f>
        <v>10.9</v>
      </c>
      <c r="S11" s="77"/>
      <c r="T11" s="78">
        <v>10.9</v>
      </c>
      <c r="U11" s="70">
        <f>W11-V11</f>
        <v>60.300000000000004</v>
      </c>
      <c r="V11" s="73">
        <f t="shared" si="3"/>
        <v>0</v>
      </c>
      <c r="W11" s="74">
        <f t="shared" si="3"/>
        <v>60.300000000000004</v>
      </c>
      <c r="X11" s="99"/>
      <c r="Y11" s="70">
        <f>AA11-Z11</f>
        <v>17.5</v>
      </c>
      <c r="Z11" s="77"/>
      <c r="AA11" s="78">
        <v>17.5</v>
      </c>
      <c r="AB11" s="70">
        <f>AD11-AC11</f>
        <v>17.9</v>
      </c>
      <c r="AC11" s="77"/>
      <c r="AD11" s="78">
        <v>17.9</v>
      </c>
      <c r="AE11" s="70">
        <f>AG11-AF11</f>
        <v>16</v>
      </c>
      <c r="AF11" s="77"/>
      <c r="AG11" s="78">
        <v>16</v>
      </c>
      <c r="AH11" s="70">
        <f>AJ11-AI11</f>
        <v>14.9</v>
      </c>
      <c r="AI11" s="77"/>
      <c r="AJ11" s="78">
        <v>14.9</v>
      </c>
      <c r="AK11" s="70">
        <f>AM11-AL11</f>
        <v>66.3</v>
      </c>
      <c r="AL11" s="73">
        <f t="shared" si="4"/>
        <v>0</v>
      </c>
      <c r="AM11" s="74">
        <f t="shared" si="4"/>
        <v>66.3</v>
      </c>
      <c r="AN11" s="99"/>
      <c r="AO11" s="70">
        <f>AQ11-AP11</f>
        <v>14.5</v>
      </c>
      <c r="AP11" s="77"/>
      <c r="AQ11" s="78">
        <v>14.5</v>
      </c>
      <c r="AR11" s="70">
        <f>AT11-AS11</f>
        <v>16.2</v>
      </c>
      <c r="AS11" s="77"/>
      <c r="AT11" s="78">
        <v>16.2</v>
      </c>
      <c r="AU11" s="70">
        <f>AW11-AV11</f>
        <v>23.3</v>
      </c>
      <c r="AV11" s="77"/>
      <c r="AW11" s="78">
        <v>23.3</v>
      </c>
      <c r="AX11" s="70">
        <f>AZ11-AY11</f>
        <v>26.2</v>
      </c>
      <c r="AY11" s="77"/>
      <c r="AZ11" s="78">
        <v>26.2</v>
      </c>
      <c r="BA11" s="70">
        <f>BC11-BB11</f>
        <v>80.2</v>
      </c>
      <c r="BB11" s="73">
        <f t="shared" si="5"/>
        <v>0</v>
      </c>
      <c r="BC11" s="74">
        <f t="shared" si="5"/>
        <v>80.2</v>
      </c>
      <c r="BD11" s="99"/>
      <c r="BE11" s="70">
        <f>BG11-BF11</f>
        <v>21.5</v>
      </c>
      <c r="BF11" s="77"/>
      <c r="BG11" s="78">
        <v>21.5</v>
      </c>
      <c r="BH11" s="70">
        <f>BJ11-BI11</f>
        <v>20.1</v>
      </c>
      <c r="BI11" s="77"/>
      <c r="BJ11" s="78">
        <v>20.1</v>
      </c>
      <c r="BK11" s="70">
        <f>BM11-BL11</f>
        <v>24.2</v>
      </c>
      <c r="BL11" s="77"/>
      <c r="BM11" s="78">
        <v>24.2</v>
      </c>
      <c r="BN11" s="70">
        <f>BP11-BO11</f>
        <v>23.3</v>
      </c>
      <c r="BO11" s="77"/>
      <c r="BP11" s="78">
        <v>23.3</v>
      </c>
      <c r="BQ11" s="70">
        <f>BS11-BR11</f>
        <v>89.1</v>
      </c>
      <c r="BR11" s="73">
        <f t="shared" si="6"/>
        <v>0</v>
      </c>
      <c r="BS11" s="74">
        <f t="shared" si="6"/>
        <v>89.1</v>
      </c>
      <c r="BT11" s="99"/>
      <c r="BU11" s="70">
        <f>BW11-BV11</f>
        <v>20</v>
      </c>
      <c r="BV11" s="77"/>
      <c r="BW11" s="78">
        <v>20</v>
      </c>
      <c r="BX11" s="70">
        <f>BZ11-BY11</f>
        <v>0</v>
      </c>
      <c r="BY11" s="77"/>
      <c r="BZ11" s="78"/>
      <c r="CA11" s="70">
        <f>CC11-CB11</f>
        <v>0</v>
      </c>
      <c r="CB11" s="77"/>
      <c r="CC11" s="78"/>
      <c r="CD11" s="70">
        <f>CF11-CE11</f>
        <v>0</v>
      </c>
      <c r="CE11" s="77"/>
      <c r="CF11" s="78"/>
      <c r="CG11" s="70">
        <f>CI11-CH11</f>
        <v>20</v>
      </c>
      <c r="CH11" s="73">
        <f t="shared" si="7"/>
        <v>0</v>
      </c>
      <c r="CI11" s="74">
        <f t="shared" si="7"/>
        <v>20</v>
      </c>
    </row>
    <row r="12" spans="1:87" s="68" customFormat="1" ht="12.75">
      <c r="A12" s="65" t="s">
        <v>12</v>
      </c>
      <c r="B12" s="97"/>
      <c r="C12" s="66">
        <f>+C6+C9-C10-C11</f>
        <v>270</v>
      </c>
      <c r="D12" s="97"/>
      <c r="E12" s="66">
        <f>+E6+E9-E10-E11</f>
        <v>386.1</v>
      </c>
      <c r="F12" s="97"/>
      <c r="G12" s="66">
        <f>+G6+G9-G10-G11</f>
        <v>507.3999999999999</v>
      </c>
      <c r="H12" s="97"/>
      <c r="I12" s="66">
        <f aca="true" t="shared" si="8" ref="I12:W12">+I6+I9-I10-I11</f>
        <v>139.09999999999997</v>
      </c>
      <c r="J12" s="66">
        <f t="shared" si="8"/>
        <v>0.29999999999999893</v>
      </c>
      <c r="K12" s="67">
        <f t="shared" si="8"/>
        <v>139.39999999999998</v>
      </c>
      <c r="L12" s="66">
        <f t="shared" si="8"/>
        <v>161</v>
      </c>
      <c r="M12" s="66">
        <f t="shared" si="8"/>
        <v>2.700000000000003</v>
      </c>
      <c r="N12" s="67">
        <f t="shared" si="8"/>
        <v>163.70000000000002</v>
      </c>
      <c r="O12" s="66">
        <f t="shared" si="8"/>
        <v>170.5</v>
      </c>
      <c r="P12" s="66">
        <f t="shared" si="8"/>
        <v>3.299999999999997</v>
      </c>
      <c r="Q12" s="67">
        <f t="shared" si="8"/>
        <v>173.79999999999998</v>
      </c>
      <c r="R12" s="66">
        <f t="shared" si="8"/>
        <v>217.50000000000003</v>
      </c>
      <c r="S12" s="66">
        <f t="shared" si="8"/>
        <v>4.100000000000001</v>
      </c>
      <c r="T12" s="67">
        <f t="shared" si="8"/>
        <v>221.6</v>
      </c>
      <c r="U12" s="66">
        <f t="shared" si="8"/>
        <v>688.0999999999999</v>
      </c>
      <c r="V12" s="66">
        <f t="shared" si="8"/>
        <v>10.399999999999977</v>
      </c>
      <c r="W12" s="67">
        <f t="shared" si="8"/>
        <v>698.5</v>
      </c>
      <c r="X12" s="97"/>
      <c r="Y12" s="66">
        <f aca="true" t="shared" si="9" ref="Y12:BS12">+Y6+Y9-Y10-Y11</f>
        <v>189.5</v>
      </c>
      <c r="Z12" s="66">
        <f t="shared" si="9"/>
        <v>2.799999999999997</v>
      </c>
      <c r="AA12" s="67">
        <f t="shared" si="9"/>
        <v>192.3</v>
      </c>
      <c r="AB12" s="66">
        <f t="shared" si="9"/>
        <v>236.29999999999993</v>
      </c>
      <c r="AC12" s="66">
        <f t="shared" si="9"/>
        <v>7.200000000000003</v>
      </c>
      <c r="AD12" s="67">
        <f t="shared" si="9"/>
        <v>243.49999999999997</v>
      </c>
      <c r="AE12" s="66">
        <f t="shared" si="9"/>
        <v>236.79999999999993</v>
      </c>
      <c r="AF12" s="66">
        <f t="shared" si="9"/>
        <v>7.700000000000003</v>
      </c>
      <c r="AG12" s="67">
        <f t="shared" si="9"/>
        <v>244.49999999999994</v>
      </c>
      <c r="AH12" s="66">
        <f t="shared" si="9"/>
        <v>232.69999999999996</v>
      </c>
      <c r="AI12" s="66">
        <f t="shared" si="9"/>
        <v>3.1000000000000014</v>
      </c>
      <c r="AJ12" s="67">
        <f t="shared" si="9"/>
        <v>235.79999999999998</v>
      </c>
      <c r="AK12" s="66">
        <f t="shared" si="9"/>
        <v>895.3000000000001</v>
      </c>
      <c r="AL12" s="66">
        <f t="shared" si="9"/>
        <v>20.799999999999983</v>
      </c>
      <c r="AM12" s="67">
        <f t="shared" si="9"/>
        <v>916.1000000000001</v>
      </c>
      <c r="AN12" s="97"/>
      <c r="AO12" s="66">
        <f t="shared" si="9"/>
        <v>237.89999999999998</v>
      </c>
      <c r="AP12" s="66">
        <f t="shared" si="9"/>
        <v>1.0999999999999943</v>
      </c>
      <c r="AQ12" s="67">
        <f t="shared" si="9"/>
        <v>238.99999999999994</v>
      </c>
      <c r="AR12" s="66">
        <f t="shared" si="9"/>
        <v>248.39999999999998</v>
      </c>
      <c r="AS12" s="66">
        <f t="shared" si="9"/>
        <v>10.899999999999991</v>
      </c>
      <c r="AT12" s="67">
        <f t="shared" si="9"/>
        <v>259.3</v>
      </c>
      <c r="AU12" s="66">
        <f t="shared" si="9"/>
        <v>281.6000000000001</v>
      </c>
      <c r="AV12" s="66">
        <f t="shared" si="9"/>
        <v>10.700000000000003</v>
      </c>
      <c r="AW12" s="67">
        <f t="shared" si="9"/>
        <v>292.3</v>
      </c>
      <c r="AX12" s="66">
        <f t="shared" si="9"/>
        <v>317.69999999999993</v>
      </c>
      <c r="AY12" s="66">
        <f t="shared" si="9"/>
        <v>7.8999999999999915</v>
      </c>
      <c r="AZ12" s="67">
        <f t="shared" si="9"/>
        <v>325.59999999999997</v>
      </c>
      <c r="BA12" s="66">
        <f t="shared" si="9"/>
        <v>1085.6000000000001</v>
      </c>
      <c r="BB12" s="66">
        <f t="shared" si="9"/>
        <v>30.599999999999966</v>
      </c>
      <c r="BC12" s="67">
        <f t="shared" si="9"/>
        <v>1116.2</v>
      </c>
      <c r="BD12" s="97"/>
      <c r="BE12" s="66">
        <f t="shared" si="9"/>
        <v>266.39999999999986</v>
      </c>
      <c r="BF12" s="66">
        <f t="shared" si="9"/>
        <v>1.1000000000000085</v>
      </c>
      <c r="BG12" s="67">
        <f t="shared" si="9"/>
        <v>267.49999999999994</v>
      </c>
      <c r="BH12" s="66">
        <f t="shared" si="9"/>
        <v>289.1</v>
      </c>
      <c r="BI12" s="66">
        <f t="shared" si="9"/>
        <v>-0.20000000000000284</v>
      </c>
      <c r="BJ12" s="67">
        <f t="shared" si="9"/>
        <v>288.90000000000003</v>
      </c>
      <c r="BK12" s="66">
        <f t="shared" si="9"/>
        <v>288.9</v>
      </c>
      <c r="BL12" s="66">
        <f t="shared" si="9"/>
        <v>-11.700000000000003</v>
      </c>
      <c r="BM12" s="67">
        <f t="shared" si="9"/>
        <v>277.2</v>
      </c>
      <c r="BN12" s="66">
        <f t="shared" si="9"/>
        <v>168.60000000000002</v>
      </c>
      <c r="BO12" s="66">
        <f t="shared" si="9"/>
        <v>2.799999999999997</v>
      </c>
      <c r="BP12" s="67">
        <f t="shared" si="9"/>
        <v>171.40000000000003</v>
      </c>
      <c r="BQ12" s="66">
        <f t="shared" si="9"/>
        <v>1012.9999999999999</v>
      </c>
      <c r="BR12" s="66">
        <f t="shared" si="9"/>
        <v>-8</v>
      </c>
      <c r="BS12" s="67">
        <f t="shared" si="9"/>
        <v>1005.0000000000001</v>
      </c>
      <c r="BT12" s="97"/>
      <c r="BU12" s="66">
        <f aca="true" t="shared" si="10" ref="BU12:CI12">+BU6+BU9-BU10-BU11</f>
        <v>244.2</v>
      </c>
      <c r="BV12" s="66">
        <f t="shared" si="10"/>
        <v>1.6999999999999993</v>
      </c>
      <c r="BW12" s="67">
        <f t="shared" si="10"/>
        <v>245.90000000000003</v>
      </c>
      <c r="BX12" s="66">
        <f t="shared" si="10"/>
        <v>0</v>
      </c>
      <c r="BY12" s="66">
        <f t="shared" si="10"/>
        <v>0</v>
      </c>
      <c r="BZ12" s="67">
        <f t="shared" si="10"/>
        <v>0</v>
      </c>
      <c r="CA12" s="66">
        <f t="shared" si="10"/>
        <v>0</v>
      </c>
      <c r="CB12" s="66">
        <f t="shared" si="10"/>
        <v>0</v>
      </c>
      <c r="CC12" s="67">
        <f t="shared" si="10"/>
        <v>0</v>
      </c>
      <c r="CD12" s="66">
        <f t="shared" si="10"/>
        <v>0</v>
      </c>
      <c r="CE12" s="66">
        <f t="shared" si="10"/>
        <v>0</v>
      </c>
      <c r="CF12" s="67">
        <f t="shared" si="10"/>
        <v>0</v>
      </c>
      <c r="CG12" s="66">
        <f t="shared" si="10"/>
        <v>244.2</v>
      </c>
      <c r="CH12" s="66">
        <f t="shared" si="10"/>
        <v>1.6999999999999993</v>
      </c>
      <c r="CI12" s="67">
        <f t="shared" si="10"/>
        <v>245.90000000000003</v>
      </c>
    </row>
    <row r="13" spans="1:87" ht="12.75">
      <c r="A13" s="7" t="s">
        <v>2</v>
      </c>
      <c r="B13" s="98"/>
      <c r="C13" s="18">
        <f>(C12-C9)/C6</f>
        <v>0.574468085106383</v>
      </c>
      <c r="D13" s="98"/>
      <c r="E13" s="18">
        <f>(E12-E9)/E6</f>
        <v>0.5519656897784132</v>
      </c>
      <c r="F13" s="98"/>
      <c r="G13" s="18">
        <f>(G12-G9)/G6</f>
        <v>0.5095400682868045</v>
      </c>
      <c r="H13" s="98"/>
      <c r="I13" s="18">
        <f aca="true" t="shared" si="11" ref="I13:W13">(I12-I9)/I6</f>
        <v>0.5408242612752721</v>
      </c>
      <c r="J13" s="25">
        <f t="shared" si="11"/>
        <v>0.02112676056338021</v>
      </c>
      <c r="K13" s="41">
        <f t="shared" si="11"/>
        <v>0.5136330140014738</v>
      </c>
      <c r="L13" s="18">
        <f t="shared" si="11"/>
        <v>0.5218800648298217</v>
      </c>
      <c r="M13" s="25">
        <f t="shared" si="11"/>
        <v>0.07917888563049862</v>
      </c>
      <c r="N13" s="41">
        <f t="shared" si="11"/>
        <v>0.4778166958552248</v>
      </c>
      <c r="O13" s="18">
        <f t="shared" si="11"/>
        <v>0.4685353118988733</v>
      </c>
      <c r="P13" s="25">
        <f t="shared" si="11"/>
        <v>0.06111111111111106</v>
      </c>
      <c r="Q13" s="41">
        <f t="shared" si="11"/>
        <v>0.41588896865278774</v>
      </c>
      <c r="R13" s="18">
        <f t="shared" si="11"/>
        <v>0.46218931782125855</v>
      </c>
      <c r="S13" s="25">
        <f t="shared" si="11"/>
        <v>0.08932461873638348</v>
      </c>
      <c r="T13" s="41">
        <f t="shared" si="11"/>
        <v>0.4218344730016505</v>
      </c>
      <c r="U13" s="18">
        <f t="shared" si="11"/>
        <v>0.4935005352500381</v>
      </c>
      <c r="V13" s="25">
        <f t="shared" si="11"/>
        <v>0.07017543859649109</v>
      </c>
      <c r="W13" s="60">
        <f t="shared" si="11"/>
        <v>0.45041208791208787</v>
      </c>
      <c r="X13" s="98"/>
      <c r="Y13" s="18">
        <f aca="true" t="shared" si="12" ref="Y13:BS13">(Y12-Y9)/Y6</f>
        <v>0.4852752880921895</v>
      </c>
      <c r="Z13" s="25">
        <f t="shared" si="12"/>
        <v>0.06113537117903924</v>
      </c>
      <c r="AA13" s="41">
        <f t="shared" si="12"/>
        <v>0.44075177630071055</v>
      </c>
      <c r="AB13" s="18">
        <f t="shared" si="12"/>
        <v>0.43856718634001474</v>
      </c>
      <c r="AC13" s="25">
        <f t="shared" si="12"/>
        <v>0.11783960720130937</v>
      </c>
      <c r="AD13" s="41">
        <f t="shared" si="12"/>
        <v>0.4059009834972495</v>
      </c>
      <c r="AE13" s="18">
        <f t="shared" si="12"/>
        <v>0.47012110383164574</v>
      </c>
      <c r="AF13" s="25">
        <f t="shared" si="12"/>
        <v>0.12106918238993715</v>
      </c>
      <c r="AG13" s="41">
        <f t="shared" si="12"/>
        <v>0.4309888947646747</v>
      </c>
      <c r="AH13" s="18">
        <f t="shared" si="12"/>
        <v>0.43983001738458566</v>
      </c>
      <c r="AI13" s="25">
        <f t="shared" si="12"/>
        <v>0.06431535269709546</v>
      </c>
      <c r="AJ13" s="41">
        <f t="shared" si="12"/>
        <v>0.40784590917123165</v>
      </c>
      <c r="AK13" s="18">
        <f t="shared" si="12"/>
        <v>0.45640026657097454</v>
      </c>
      <c r="AL13" s="25">
        <f t="shared" si="12"/>
        <v>0.09510745313214441</v>
      </c>
      <c r="AM13" s="60">
        <f t="shared" si="12"/>
        <v>0.41997787406656223</v>
      </c>
      <c r="AN13" s="98"/>
      <c r="AO13" s="18">
        <f t="shared" si="12"/>
        <v>0.46167281195420146</v>
      </c>
      <c r="AP13" s="25">
        <f t="shared" si="12"/>
        <v>0.01617647058823521</v>
      </c>
      <c r="AQ13" s="41">
        <f t="shared" si="12"/>
        <v>0.40973769929710263</v>
      </c>
      <c r="AR13" s="18">
        <f t="shared" si="12"/>
        <v>0.4425440940673437</v>
      </c>
      <c r="AS13" s="25">
        <f t="shared" si="12"/>
        <v>0.11168032786885237</v>
      </c>
      <c r="AT13" s="41">
        <f t="shared" si="12"/>
        <v>0.393534679010472</v>
      </c>
      <c r="AU13" s="18">
        <f t="shared" si="12"/>
        <v>0.4611102014082202</v>
      </c>
      <c r="AV13" s="25">
        <f t="shared" si="12"/>
        <v>0.09006734006734009</v>
      </c>
      <c r="AW13" s="41">
        <f t="shared" si="12"/>
        <v>0.40068540095956134</v>
      </c>
      <c r="AX13" s="18">
        <f t="shared" si="12"/>
        <v>0.49858757062146886</v>
      </c>
      <c r="AY13" s="25">
        <f t="shared" si="12"/>
        <v>0.07241063244729598</v>
      </c>
      <c r="AZ13" s="41">
        <f t="shared" si="12"/>
        <v>0.4362856760016079</v>
      </c>
      <c r="BA13" s="18">
        <f t="shared" si="12"/>
        <v>0.4670251667025167</v>
      </c>
      <c r="BB13" s="25">
        <f t="shared" si="12"/>
        <v>0.07776365946632774</v>
      </c>
      <c r="BC13" s="60">
        <f t="shared" si="12"/>
        <v>0.41066961000735835</v>
      </c>
      <c r="BD13" s="98"/>
      <c r="BE13" s="18">
        <f t="shared" si="12"/>
        <v>0.48383581547402815</v>
      </c>
      <c r="BF13" s="25">
        <f t="shared" si="12"/>
        <v>0.011201629327902326</v>
      </c>
      <c r="BG13" s="41">
        <f t="shared" si="12"/>
        <v>0.41229963008631315</v>
      </c>
      <c r="BH13" s="18">
        <f t="shared" si="12"/>
        <v>0.4464175416924027</v>
      </c>
      <c r="BI13" s="25">
        <f t="shared" si="12"/>
        <v>-0.0017841213202498024</v>
      </c>
      <c r="BJ13" s="41">
        <f t="shared" si="12"/>
        <v>0.3802816901408451</v>
      </c>
      <c r="BK13" s="18">
        <f t="shared" si="12"/>
        <v>0.41460964408725604</v>
      </c>
      <c r="BL13" s="25">
        <f t="shared" si="12"/>
        <v>-0.13432835820895528</v>
      </c>
      <c r="BM13" s="41">
        <f t="shared" si="12"/>
        <v>0.35361653272101035</v>
      </c>
      <c r="BN13" s="18">
        <f t="shared" si="12"/>
        <v>0.24206748025843505</v>
      </c>
      <c r="BO13" s="25">
        <f t="shared" si="12"/>
        <v>0.07887323943661964</v>
      </c>
      <c r="BP13" s="41">
        <f t="shared" si="12"/>
        <v>0.23415300546448092</v>
      </c>
      <c r="BQ13" s="18">
        <f t="shared" si="12"/>
        <v>0.3908933050356936</v>
      </c>
      <c r="BR13" s="25">
        <f t="shared" si="12"/>
        <v>-0.02403124061279664</v>
      </c>
      <c r="BS13" s="60">
        <f t="shared" si="12"/>
        <v>0.343660237997538</v>
      </c>
      <c r="BT13" s="98"/>
      <c r="BU13" s="18">
        <f aca="true" t="shared" si="13" ref="BU13:CI13">(BU12-BU9)/BU6</f>
        <v>0.38792692613185065</v>
      </c>
      <c r="BV13" s="25">
        <f t="shared" si="13"/>
        <v>0.23943661971830976</v>
      </c>
      <c r="BW13" s="41">
        <f t="shared" si="13"/>
        <v>0.38627081369776944</v>
      </c>
      <c r="BX13" s="18" t="e">
        <f t="shared" si="13"/>
        <v>#DIV/0!</v>
      </c>
      <c r="BY13" s="25" t="e">
        <f t="shared" si="13"/>
        <v>#DIV/0!</v>
      </c>
      <c r="BZ13" s="41" t="e">
        <f t="shared" si="13"/>
        <v>#DIV/0!</v>
      </c>
      <c r="CA13" s="18" t="e">
        <f t="shared" si="13"/>
        <v>#DIV/0!</v>
      </c>
      <c r="CB13" s="25" t="e">
        <f t="shared" si="13"/>
        <v>#DIV/0!</v>
      </c>
      <c r="CC13" s="41" t="e">
        <f t="shared" si="13"/>
        <v>#DIV/0!</v>
      </c>
      <c r="CD13" s="18" t="e">
        <f t="shared" si="13"/>
        <v>#DIV/0!</v>
      </c>
      <c r="CE13" s="25" t="e">
        <f t="shared" si="13"/>
        <v>#DIV/0!</v>
      </c>
      <c r="CF13" s="41" t="e">
        <f t="shared" si="13"/>
        <v>#DIV/0!</v>
      </c>
      <c r="CG13" s="18">
        <f t="shared" si="13"/>
        <v>0.38792692613185065</v>
      </c>
      <c r="CH13" s="25">
        <f t="shared" si="13"/>
        <v>0.23943661971830976</v>
      </c>
      <c r="CI13" s="60">
        <f t="shared" si="13"/>
        <v>0.38627081369776944</v>
      </c>
    </row>
    <row r="14" spans="1:87" s="4" customFormat="1" ht="11.25">
      <c r="A14" s="48"/>
      <c r="B14" s="100"/>
      <c r="C14" s="19"/>
      <c r="D14" s="100"/>
      <c r="E14" s="19"/>
      <c r="F14" s="100"/>
      <c r="G14" s="19"/>
      <c r="H14" s="100"/>
      <c r="I14" s="19"/>
      <c r="J14" s="26"/>
      <c r="K14" s="42"/>
      <c r="L14" s="19"/>
      <c r="M14" s="26"/>
      <c r="N14" s="42"/>
      <c r="O14" s="19"/>
      <c r="P14" s="26"/>
      <c r="Q14" s="42"/>
      <c r="R14" s="19"/>
      <c r="S14" s="26"/>
      <c r="T14" s="42"/>
      <c r="U14" s="19"/>
      <c r="V14" s="26"/>
      <c r="W14" s="61"/>
      <c r="X14" s="100"/>
      <c r="Y14" s="19"/>
      <c r="Z14" s="26"/>
      <c r="AA14" s="42"/>
      <c r="AB14" s="19"/>
      <c r="AC14" s="26"/>
      <c r="AD14" s="42"/>
      <c r="AE14" s="19"/>
      <c r="AF14" s="26"/>
      <c r="AG14" s="42"/>
      <c r="AH14" s="19"/>
      <c r="AI14" s="26"/>
      <c r="AJ14" s="42"/>
      <c r="AK14" s="19"/>
      <c r="AL14" s="26"/>
      <c r="AM14" s="61"/>
      <c r="AN14" s="100"/>
      <c r="AO14" s="19"/>
      <c r="AP14" s="26"/>
      <c r="AQ14" s="42"/>
      <c r="AR14" s="19"/>
      <c r="AS14" s="26"/>
      <c r="AT14" s="42"/>
      <c r="AU14" s="19"/>
      <c r="AV14" s="26"/>
      <c r="AW14" s="42"/>
      <c r="AX14" s="19"/>
      <c r="AY14" s="26"/>
      <c r="AZ14" s="42"/>
      <c r="BA14" s="19"/>
      <c r="BB14" s="26"/>
      <c r="BC14" s="61"/>
      <c r="BD14" s="100"/>
      <c r="BE14" s="19"/>
      <c r="BF14" s="26"/>
      <c r="BG14" s="42"/>
      <c r="BH14" s="19"/>
      <c r="BI14" s="26"/>
      <c r="BJ14" s="42"/>
      <c r="BK14" s="19"/>
      <c r="BL14" s="26"/>
      <c r="BM14" s="42"/>
      <c r="BN14" s="19"/>
      <c r="BO14" s="26"/>
      <c r="BP14" s="42"/>
      <c r="BQ14" s="19"/>
      <c r="BR14" s="26"/>
      <c r="BS14" s="61"/>
      <c r="BT14" s="100"/>
      <c r="BU14" s="19"/>
      <c r="BV14" s="26"/>
      <c r="BW14" s="42"/>
      <c r="BX14" s="19"/>
      <c r="BY14" s="26"/>
      <c r="BZ14" s="42"/>
      <c r="CA14" s="19"/>
      <c r="CB14" s="26"/>
      <c r="CC14" s="42"/>
      <c r="CD14" s="19"/>
      <c r="CE14" s="26"/>
      <c r="CF14" s="42"/>
      <c r="CG14" s="19"/>
      <c r="CH14" s="26"/>
      <c r="CI14" s="61"/>
    </row>
    <row r="15" spans="1:87" s="68" customFormat="1" ht="12.75">
      <c r="A15" s="76" t="s">
        <v>3</v>
      </c>
      <c r="B15" s="99"/>
      <c r="C15" s="70">
        <v>167.2</v>
      </c>
      <c r="D15" s="99"/>
      <c r="E15" s="70">
        <v>209.5</v>
      </c>
      <c r="F15" s="99"/>
      <c r="G15" s="70">
        <v>261.5</v>
      </c>
      <c r="H15" s="99"/>
      <c r="I15" s="70">
        <f>K15-J15</f>
        <v>77.5</v>
      </c>
      <c r="J15" s="77">
        <v>0.5</v>
      </c>
      <c r="K15" s="78">
        <v>78</v>
      </c>
      <c r="L15" s="70">
        <f>N15-M15</f>
        <v>76.7</v>
      </c>
      <c r="M15" s="77">
        <v>1.1</v>
      </c>
      <c r="N15" s="78">
        <v>77.8</v>
      </c>
      <c r="O15" s="70">
        <f>Q15-P15</f>
        <v>85.5</v>
      </c>
      <c r="P15" s="77">
        <v>1.5</v>
      </c>
      <c r="Q15" s="78">
        <v>87</v>
      </c>
      <c r="R15" s="70">
        <f>T15-S15</f>
        <v>83.7</v>
      </c>
      <c r="S15" s="77">
        <f>0.5+1.5</f>
        <v>2</v>
      </c>
      <c r="T15" s="78">
        <v>85.7</v>
      </c>
      <c r="U15" s="70">
        <f>W15-V15</f>
        <v>323.4</v>
      </c>
      <c r="V15" s="73">
        <f>J15+M15+P15+S15</f>
        <v>5.1</v>
      </c>
      <c r="W15" s="74">
        <f>K15+N15+Q15+T15</f>
        <v>328.5</v>
      </c>
      <c r="X15" s="99"/>
      <c r="Y15" s="70">
        <f>AA15-Z15</f>
        <v>103.4</v>
      </c>
      <c r="Z15" s="77">
        <f>0.4+1.6</f>
        <v>2</v>
      </c>
      <c r="AA15" s="78">
        <v>105.4</v>
      </c>
      <c r="AB15" s="70">
        <f>AD15-AC15</f>
        <v>117</v>
      </c>
      <c r="AC15" s="77">
        <f>0.4+1.5</f>
        <v>1.9</v>
      </c>
      <c r="AD15" s="78">
        <v>118.9</v>
      </c>
      <c r="AE15" s="70">
        <f>AG15-AF15</f>
        <v>108.10000000000001</v>
      </c>
      <c r="AF15" s="77">
        <f>0.6+1.5</f>
        <v>2.1</v>
      </c>
      <c r="AG15" s="78">
        <v>110.2</v>
      </c>
      <c r="AH15" s="70">
        <f>AJ15-AI15</f>
        <v>122.1</v>
      </c>
      <c r="AI15" s="77">
        <f>0.5+1.5</f>
        <v>2</v>
      </c>
      <c r="AJ15" s="78">
        <v>124.1</v>
      </c>
      <c r="AK15" s="70">
        <f>AM15-AL15</f>
        <v>450.6</v>
      </c>
      <c r="AL15" s="73">
        <f>Z15+AC15+AF15+AI15</f>
        <v>8</v>
      </c>
      <c r="AM15" s="74">
        <f>AA15+AD15+AG15+AJ15</f>
        <v>458.6</v>
      </c>
      <c r="AN15" s="99"/>
      <c r="AO15" s="70">
        <f>AQ15-AP15</f>
        <v>124</v>
      </c>
      <c r="AP15" s="77">
        <v>2.5</v>
      </c>
      <c r="AQ15" s="78">
        <v>126.5</v>
      </c>
      <c r="AR15" s="70">
        <f>AT15-AS15</f>
        <v>115.80000000000001</v>
      </c>
      <c r="AS15" s="77">
        <v>2.6</v>
      </c>
      <c r="AT15" s="78">
        <v>118.4</v>
      </c>
      <c r="AU15" s="70">
        <f>AW15-AV15</f>
        <v>120.69999999999999</v>
      </c>
      <c r="AV15" s="77">
        <v>2.9</v>
      </c>
      <c r="AW15" s="78">
        <v>123.6</v>
      </c>
      <c r="AX15" s="70">
        <f>AZ15-AY15</f>
        <v>179</v>
      </c>
      <c r="AY15" s="77">
        <v>2.6</v>
      </c>
      <c r="AZ15" s="78">
        <v>181.6</v>
      </c>
      <c r="BA15" s="70">
        <f>BC15-BB15</f>
        <v>539.5</v>
      </c>
      <c r="BB15" s="73">
        <f>AP15+AS15+AV15+AY15</f>
        <v>10.6</v>
      </c>
      <c r="BC15" s="74">
        <f>AQ15+AT15+AW15+AZ15</f>
        <v>550.1</v>
      </c>
      <c r="BD15" s="99"/>
      <c r="BE15" s="70">
        <f>BG15-BF15</f>
        <v>149.5</v>
      </c>
      <c r="BF15" s="77">
        <v>2.9</v>
      </c>
      <c r="BG15" s="78">
        <v>152.4</v>
      </c>
      <c r="BH15" s="70">
        <f>BJ15-BI15</f>
        <v>148</v>
      </c>
      <c r="BI15" s="77">
        <v>2.9</v>
      </c>
      <c r="BJ15" s="78">
        <v>150.9</v>
      </c>
      <c r="BK15" s="70">
        <f>BM15-BL15</f>
        <v>132.5</v>
      </c>
      <c r="BL15" s="77">
        <v>2.3</v>
      </c>
      <c r="BM15" s="78">
        <v>134.8</v>
      </c>
      <c r="BN15" s="70">
        <f>BP15-BO15</f>
        <v>167.7</v>
      </c>
      <c r="BO15" s="77">
        <v>1.9</v>
      </c>
      <c r="BP15" s="78">
        <v>169.6</v>
      </c>
      <c r="BQ15" s="70">
        <f>BS15-BR15</f>
        <v>597.7</v>
      </c>
      <c r="BR15" s="73">
        <f>BF15+BI15+BL15+BO15</f>
        <v>10</v>
      </c>
      <c r="BS15" s="74">
        <f>BG15+BJ15+BM15+BP15</f>
        <v>607.7</v>
      </c>
      <c r="BT15" s="99"/>
      <c r="BU15" s="70">
        <f>BW15-BV15</f>
        <v>157</v>
      </c>
      <c r="BV15" s="77">
        <v>1</v>
      </c>
      <c r="BW15" s="78">
        <v>158</v>
      </c>
      <c r="BX15" s="70">
        <f>BZ15-BY15</f>
        <v>0</v>
      </c>
      <c r="BY15" s="77"/>
      <c r="BZ15" s="78"/>
      <c r="CA15" s="70">
        <f>CC15-CB15</f>
        <v>0</v>
      </c>
      <c r="CB15" s="77"/>
      <c r="CC15" s="78"/>
      <c r="CD15" s="70">
        <f>CF15-CE15</f>
        <v>0</v>
      </c>
      <c r="CE15" s="77"/>
      <c r="CF15" s="78"/>
      <c r="CG15" s="70">
        <f>CI15-CH15</f>
        <v>157</v>
      </c>
      <c r="CH15" s="73">
        <f>BV15+BY15+CB15+CE15</f>
        <v>1</v>
      </c>
      <c r="CI15" s="74">
        <f>BW15+BZ15+CC15+CF15</f>
        <v>158</v>
      </c>
    </row>
    <row r="16" spans="1:87" s="68" customFormat="1" ht="12.75">
      <c r="A16" s="76" t="s">
        <v>37</v>
      </c>
      <c r="B16" s="99"/>
      <c r="C16" s="70">
        <v>18.5</v>
      </c>
      <c r="D16" s="99"/>
      <c r="E16" s="70">
        <v>24.3</v>
      </c>
      <c r="F16" s="99"/>
      <c r="G16" s="70">
        <v>39.8</v>
      </c>
      <c r="H16" s="99"/>
      <c r="I16" s="70">
        <f>K16-J16</f>
        <v>9.9</v>
      </c>
      <c r="J16" s="77">
        <v>0.2</v>
      </c>
      <c r="K16" s="78">
        <v>10.1</v>
      </c>
      <c r="L16" s="70">
        <f>N16-M16</f>
        <v>14.6</v>
      </c>
      <c r="M16" s="77">
        <v>0.4</v>
      </c>
      <c r="N16" s="78">
        <v>15</v>
      </c>
      <c r="O16" s="70">
        <f>Q16-P16</f>
        <v>9.5</v>
      </c>
      <c r="P16" s="77">
        <v>0.5</v>
      </c>
      <c r="Q16" s="78">
        <v>10</v>
      </c>
      <c r="R16" s="70">
        <f>T16-S16</f>
        <v>62.9</v>
      </c>
      <c r="S16" s="77">
        <v>0.9</v>
      </c>
      <c r="T16" s="78">
        <v>63.8</v>
      </c>
      <c r="U16" s="70">
        <f>W16-V16</f>
        <v>96.9</v>
      </c>
      <c r="V16" s="73">
        <f>J16+M16+P16+S16</f>
        <v>2</v>
      </c>
      <c r="W16" s="74">
        <f>K16+N16+Q16+T16</f>
        <v>98.9</v>
      </c>
      <c r="X16" s="99"/>
      <c r="Y16" s="70">
        <f>AA16-Z16</f>
        <v>15.3</v>
      </c>
      <c r="Z16" s="77">
        <v>1</v>
      </c>
      <c r="AA16" s="78">
        <v>16.3</v>
      </c>
      <c r="AB16" s="70">
        <f>AD16-AC16</f>
        <v>16.9</v>
      </c>
      <c r="AC16" s="77">
        <v>1.1</v>
      </c>
      <c r="AD16" s="78">
        <v>18</v>
      </c>
      <c r="AE16" s="70">
        <f>AG16-AF16</f>
        <v>20.2</v>
      </c>
      <c r="AF16" s="77">
        <v>1.2</v>
      </c>
      <c r="AG16" s="78">
        <v>21.4</v>
      </c>
      <c r="AH16" s="70">
        <f>AJ16-AI16</f>
        <v>19.8</v>
      </c>
      <c r="AI16" s="77">
        <v>1.2</v>
      </c>
      <c r="AJ16" s="78">
        <v>21</v>
      </c>
      <c r="AK16" s="70">
        <f>AM16-AL16</f>
        <v>72.19999999999999</v>
      </c>
      <c r="AL16" s="73">
        <f>Z16+AC16+AF16+AI16</f>
        <v>4.5</v>
      </c>
      <c r="AM16" s="74">
        <f>AA16+AD16+AG16+AJ16</f>
        <v>76.69999999999999</v>
      </c>
      <c r="AN16" s="99"/>
      <c r="AO16" s="70">
        <f>AQ16-AP16</f>
        <v>21.599999999999998</v>
      </c>
      <c r="AP16" s="77">
        <v>1.3</v>
      </c>
      <c r="AQ16" s="78">
        <v>22.9</v>
      </c>
      <c r="AR16" s="70">
        <f>AT16-AS16</f>
        <v>24.700000000000003</v>
      </c>
      <c r="AS16" s="77">
        <v>1.4</v>
      </c>
      <c r="AT16" s="78">
        <v>26.1</v>
      </c>
      <c r="AU16" s="70">
        <f>AW16-AV16</f>
        <v>27.5</v>
      </c>
      <c r="AV16" s="77">
        <v>1.5</v>
      </c>
      <c r="AW16" s="78">
        <v>29</v>
      </c>
      <c r="AX16" s="70">
        <f>AZ16-AY16</f>
        <v>20.9</v>
      </c>
      <c r="AY16" s="77">
        <v>1.6</v>
      </c>
      <c r="AZ16" s="78">
        <v>22.5</v>
      </c>
      <c r="BA16" s="70">
        <f>BC16-BB16</f>
        <v>94.7</v>
      </c>
      <c r="BB16" s="73">
        <f>AP16+AS16+AV16+AY16</f>
        <v>5.800000000000001</v>
      </c>
      <c r="BC16" s="74">
        <f>AQ16+AT16+AW16+AZ16</f>
        <v>100.5</v>
      </c>
      <c r="BD16" s="99"/>
      <c r="BE16" s="70">
        <f>BG16-BF16</f>
        <v>28.2</v>
      </c>
      <c r="BF16" s="77">
        <v>1.6</v>
      </c>
      <c r="BG16" s="78">
        <v>29.8</v>
      </c>
      <c r="BH16" s="70">
        <f>BJ16-BI16</f>
        <v>29.5</v>
      </c>
      <c r="BI16" s="77">
        <v>1.7</v>
      </c>
      <c r="BJ16" s="78">
        <v>31.2</v>
      </c>
      <c r="BK16" s="70">
        <f>BM16-BL16</f>
        <v>44</v>
      </c>
      <c r="BL16" s="77">
        <v>1.7</v>
      </c>
      <c r="BM16" s="78">
        <v>45.7</v>
      </c>
      <c r="BN16" s="70">
        <f>BP16-BO16</f>
        <v>330.4</v>
      </c>
      <c r="BO16" s="77">
        <v>0.6</v>
      </c>
      <c r="BP16" s="78">
        <v>331</v>
      </c>
      <c r="BQ16" s="70">
        <f>BS16-BR16</f>
        <v>432.09999999999997</v>
      </c>
      <c r="BR16" s="73">
        <f>BF16+BI16+BL16+BO16</f>
        <v>5.6</v>
      </c>
      <c r="BS16" s="74">
        <f>BG16+BJ16+BM16+BP16</f>
        <v>437.7</v>
      </c>
      <c r="BT16" s="99"/>
      <c r="BU16" s="70">
        <f>BW16-BV16</f>
        <v>34.4</v>
      </c>
      <c r="BV16" s="77">
        <v>0.5</v>
      </c>
      <c r="BW16" s="78">
        <v>34.9</v>
      </c>
      <c r="BX16" s="70">
        <f>BZ16-BY16</f>
        <v>0</v>
      </c>
      <c r="BY16" s="77"/>
      <c r="BZ16" s="78"/>
      <c r="CA16" s="70">
        <f>CC16-CB16</f>
        <v>0</v>
      </c>
      <c r="CB16" s="77"/>
      <c r="CC16" s="78"/>
      <c r="CD16" s="70">
        <f>CF16-CE16</f>
        <v>0</v>
      </c>
      <c r="CE16" s="77"/>
      <c r="CF16" s="78"/>
      <c r="CG16" s="70">
        <f>CI16-CH16</f>
        <v>34.4</v>
      </c>
      <c r="CH16" s="73">
        <f>BV16+BY16+CB16+CE16</f>
        <v>0.5</v>
      </c>
      <c r="CI16" s="74">
        <f>BW16+BZ16+CC16+CF16</f>
        <v>34.9</v>
      </c>
    </row>
    <row r="17" spans="1:87" s="68" customFormat="1" ht="12.75">
      <c r="A17" s="76"/>
      <c r="B17" s="97"/>
      <c r="C17" s="70"/>
      <c r="D17" s="97"/>
      <c r="E17" s="70"/>
      <c r="F17" s="97"/>
      <c r="G17" s="70"/>
      <c r="H17" s="97"/>
      <c r="I17" s="70"/>
      <c r="J17" s="77"/>
      <c r="K17" s="78"/>
      <c r="L17" s="70"/>
      <c r="M17" s="77"/>
      <c r="N17" s="78"/>
      <c r="O17" s="70"/>
      <c r="P17" s="77"/>
      <c r="Q17" s="78"/>
      <c r="R17" s="70"/>
      <c r="S17" s="77"/>
      <c r="T17" s="78"/>
      <c r="U17" s="70"/>
      <c r="V17" s="77"/>
      <c r="W17" s="79"/>
      <c r="X17" s="97"/>
      <c r="Y17" s="70"/>
      <c r="Z17" s="77"/>
      <c r="AA17" s="78"/>
      <c r="AB17" s="70"/>
      <c r="AC17" s="77"/>
      <c r="AD17" s="78"/>
      <c r="AE17" s="70"/>
      <c r="AF17" s="77"/>
      <c r="AG17" s="78"/>
      <c r="AH17" s="70"/>
      <c r="AI17" s="77"/>
      <c r="AJ17" s="78"/>
      <c r="AK17" s="70"/>
      <c r="AL17" s="77"/>
      <c r="AM17" s="79"/>
      <c r="AN17" s="97"/>
      <c r="AO17" s="70"/>
      <c r="AP17" s="77"/>
      <c r="AQ17" s="78"/>
      <c r="AR17" s="70"/>
      <c r="AS17" s="77"/>
      <c r="AT17" s="78"/>
      <c r="AU17" s="70"/>
      <c r="AV17" s="77"/>
      <c r="AW17" s="78"/>
      <c r="AX17" s="70"/>
      <c r="AY17" s="77"/>
      <c r="AZ17" s="78"/>
      <c r="BA17" s="70"/>
      <c r="BB17" s="77"/>
      <c r="BC17" s="79"/>
      <c r="BD17" s="97"/>
      <c r="BE17" s="70"/>
      <c r="BF17" s="77"/>
      <c r="BG17" s="78"/>
      <c r="BH17" s="70"/>
      <c r="BI17" s="77"/>
      <c r="BJ17" s="78"/>
      <c r="BK17" s="70"/>
      <c r="BL17" s="77"/>
      <c r="BM17" s="78"/>
      <c r="BN17" s="70"/>
      <c r="BO17" s="77"/>
      <c r="BP17" s="78"/>
      <c r="BQ17" s="70"/>
      <c r="BR17" s="77"/>
      <c r="BS17" s="79"/>
      <c r="BT17" s="97"/>
      <c r="BU17" s="70"/>
      <c r="BV17" s="77"/>
      <c r="BW17" s="78"/>
      <c r="BX17" s="70"/>
      <c r="BY17" s="77"/>
      <c r="BZ17" s="78"/>
      <c r="CA17" s="70"/>
      <c r="CB17" s="77"/>
      <c r="CC17" s="78"/>
      <c r="CD17" s="70"/>
      <c r="CE17" s="77"/>
      <c r="CF17" s="78"/>
      <c r="CG17" s="70"/>
      <c r="CH17" s="77"/>
      <c r="CI17" s="79"/>
    </row>
    <row r="18" spans="1:87" s="68" customFormat="1" ht="12.75">
      <c r="A18" s="65" t="s">
        <v>4</v>
      </c>
      <c r="B18" s="97"/>
      <c r="C18" s="66">
        <f>+C12-C15-C16</f>
        <v>84.30000000000001</v>
      </c>
      <c r="D18" s="97"/>
      <c r="E18" s="66">
        <f>+E12-E15-E16</f>
        <v>152.3</v>
      </c>
      <c r="F18" s="97"/>
      <c r="G18" s="66">
        <f>+G12-G15-G16</f>
        <v>206.0999999999999</v>
      </c>
      <c r="H18" s="97"/>
      <c r="I18" s="66">
        <f aca="true" t="shared" si="14" ref="I18:W18">+I12-I15-I16</f>
        <v>51.69999999999997</v>
      </c>
      <c r="J18" s="66">
        <f t="shared" si="14"/>
        <v>-0.4000000000000011</v>
      </c>
      <c r="K18" s="67">
        <f t="shared" si="14"/>
        <v>51.299999999999976</v>
      </c>
      <c r="L18" s="66">
        <f t="shared" si="14"/>
        <v>69.7</v>
      </c>
      <c r="M18" s="66">
        <f t="shared" si="14"/>
        <v>1.2000000000000028</v>
      </c>
      <c r="N18" s="67">
        <f t="shared" si="14"/>
        <v>70.90000000000002</v>
      </c>
      <c r="O18" s="66">
        <f t="shared" si="14"/>
        <v>75.5</v>
      </c>
      <c r="P18" s="66">
        <f t="shared" si="14"/>
        <v>1.2999999999999972</v>
      </c>
      <c r="Q18" s="67">
        <f t="shared" si="14"/>
        <v>76.79999999999998</v>
      </c>
      <c r="R18" s="66">
        <f t="shared" si="14"/>
        <v>70.9</v>
      </c>
      <c r="S18" s="66">
        <f t="shared" si="14"/>
        <v>1.2000000000000015</v>
      </c>
      <c r="T18" s="67">
        <f t="shared" si="14"/>
        <v>72.09999999999998</v>
      </c>
      <c r="U18" s="66">
        <f t="shared" si="14"/>
        <v>267.79999999999995</v>
      </c>
      <c r="V18" s="66">
        <f t="shared" si="14"/>
        <v>3.2999999999999776</v>
      </c>
      <c r="W18" s="67">
        <f t="shared" si="14"/>
        <v>271.1</v>
      </c>
      <c r="X18" s="97"/>
      <c r="Y18" s="66">
        <f aca="true" t="shared" si="15" ref="Y18:BS18">+Y12-Y15-Y16</f>
        <v>70.8</v>
      </c>
      <c r="Z18" s="66">
        <f t="shared" si="15"/>
        <v>-0.20000000000000284</v>
      </c>
      <c r="AA18" s="67">
        <f t="shared" si="15"/>
        <v>70.60000000000001</v>
      </c>
      <c r="AB18" s="66">
        <f t="shared" si="15"/>
        <v>102.39999999999992</v>
      </c>
      <c r="AC18" s="66">
        <f t="shared" si="15"/>
        <v>4.200000000000003</v>
      </c>
      <c r="AD18" s="67">
        <f t="shared" si="15"/>
        <v>106.59999999999997</v>
      </c>
      <c r="AE18" s="66">
        <f t="shared" si="15"/>
        <v>108.49999999999993</v>
      </c>
      <c r="AF18" s="66">
        <f t="shared" si="15"/>
        <v>4.400000000000003</v>
      </c>
      <c r="AG18" s="67">
        <f t="shared" si="15"/>
        <v>112.89999999999995</v>
      </c>
      <c r="AH18" s="66">
        <f t="shared" si="15"/>
        <v>90.79999999999997</v>
      </c>
      <c r="AI18" s="66">
        <f t="shared" si="15"/>
        <v>-0.09999999999999853</v>
      </c>
      <c r="AJ18" s="67">
        <f t="shared" si="15"/>
        <v>90.69999999999999</v>
      </c>
      <c r="AK18" s="66">
        <f t="shared" si="15"/>
        <v>372.50000000000006</v>
      </c>
      <c r="AL18" s="66">
        <f t="shared" si="15"/>
        <v>8.299999999999983</v>
      </c>
      <c r="AM18" s="67">
        <f t="shared" si="15"/>
        <v>380.8000000000001</v>
      </c>
      <c r="AN18" s="97"/>
      <c r="AO18" s="66">
        <f t="shared" si="15"/>
        <v>92.29999999999998</v>
      </c>
      <c r="AP18" s="66">
        <f t="shared" si="15"/>
        <v>-2.7000000000000055</v>
      </c>
      <c r="AQ18" s="67">
        <f t="shared" si="15"/>
        <v>89.59999999999994</v>
      </c>
      <c r="AR18" s="66">
        <f t="shared" si="15"/>
        <v>107.89999999999996</v>
      </c>
      <c r="AS18" s="66">
        <f t="shared" si="15"/>
        <v>6.8999999999999915</v>
      </c>
      <c r="AT18" s="67">
        <f t="shared" si="15"/>
        <v>114.80000000000001</v>
      </c>
      <c r="AU18" s="66">
        <f t="shared" si="15"/>
        <v>133.4000000000001</v>
      </c>
      <c r="AV18" s="66">
        <f t="shared" si="15"/>
        <v>6.3000000000000025</v>
      </c>
      <c r="AW18" s="67">
        <f t="shared" si="15"/>
        <v>139.70000000000002</v>
      </c>
      <c r="AX18" s="66">
        <f t="shared" si="15"/>
        <v>117.79999999999993</v>
      </c>
      <c r="AY18" s="66">
        <f t="shared" si="15"/>
        <v>3.6999999999999917</v>
      </c>
      <c r="AZ18" s="67">
        <f t="shared" si="15"/>
        <v>121.49999999999997</v>
      </c>
      <c r="BA18" s="66">
        <f t="shared" si="15"/>
        <v>451.40000000000015</v>
      </c>
      <c r="BB18" s="66">
        <f t="shared" si="15"/>
        <v>14.199999999999964</v>
      </c>
      <c r="BC18" s="67">
        <f t="shared" si="15"/>
        <v>465.6</v>
      </c>
      <c r="BD18" s="97"/>
      <c r="BE18" s="66">
        <f t="shared" si="15"/>
        <v>88.69999999999986</v>
      </c>
      <c r="BF18" s="66">
        <f t="shared" si="15"/>
        <v>-3.3999999999999915</v>
      </c>
      <c r="BG18" s="67">
        <f t="shared" si="15"/>
        <v>85.29999999999994</v>
      </c>
      <c r="BH18" s="66">
        <f t="shared" si="15"/>
        <v>111.60000000000002</v>
      </c>
      <c r="BI18" s="66">
        <f t="shared" si="15"/>
        <v>-4.8000000000000025</v>
      </c>
      <c r="BJ18" s="67">
        <f t="shared" si="15"/>
        <v>106.80000000000003</v>
      </c>
      <c r="BK18" s="66">
        <f t="shared" si="15"/>
        <v>112.39999999999998</v>
      </c>
      <c r="BL18" s="66">
        <f t="shared" si="15"/>
        <v>-15.700000000000003</v>
      </c>
      <c r="BM18" s="67">
        <f t="shared" si="15"/>
        <v>96.69999999999997</v>
      </c>
      <c r="BN18" s="66">
        <f t="shared" si="15"/>
        <v>-329.49999999999994</v>
      </c>
      <c r="BO18" s="66">
        <f t="shared" si="15"/>
        <v>0.29999999999999727</v>
      </c>
      <c r="BP18" s="67">
        <f t="shared" si="15"/>
        <v>-329.19999999999993</v>
      </c>
      <c r="BQ18" s="66">
        <f t="shared" si="15"/>
        <v>-16.800000000000125</v>
      </c>
      <c r="BR18" s="66">
        <f t="shared" si="15"/>
        <v>-23.6</v>
      </c>
      <c r="BS18" s="67">
        <f t="shared" si="15"/>
        <v>-40.39999999999992</v>
      </c>
      <c r="BT18" s="97"/>
      <c r="BU18" s="66">
        <f aca="true" t="shared" si="16" ref="BU18:CI18">+BU12-BU15-BU16</f>
        <v>52.79999999999999</v>
      </c>
      <c r="BV18" s="66">
        <f t="shared" si="16"/>
        <v>0.1999999999999993</v>
      </c>
      <c r="BW18" s="67">
        <f t="shared" si="16"/>
        <v>53.000000000000036</v>
      </c>
      <c r="BX18" s="66">
        <f t="shared" si="16"/>
        <v>0</v>
      </c>
      <c r="BY18" s="66">
        <f t="shared" si="16"/>
        <v>0</v>
      </c>
      <c r="BZ18" s="67">
        <f t="shared" si="16"/>
        <v>0</v>
      </c>
      <c r="CA18" s="66">
        <f t="shared" si="16"/>
        <v>0</v>
      </c>
      <c r="CB18" s="66">
        <f t="shared" si="16"/>
        <v>0</v>
      </c>
      <c r="CC18" s="67">
        <f t="shared" si="16"/>
        <v>0</v>
      </c>
      <c r="CD18" s="66">
        <f t="shared" si="16"/>
        <v>0</v>
      </c>
      <c r="CE18" s="66">
        <f t="shared" si="16"/>
        <v>0</v>
      </c>
      <c r="CF18" s="67">
        <f t="shared" si="16"/>
        <v>0</v>
      </c>
      <c r="CG18" s="66">
        <f t="shared" si="16"/>
        <v>52.79999999999999</v>
      </c>
      <c r="CH18" s="66">
        <f t="shared" si="16"/>
        <v>0.1999999999999993</v>
      </c>
      <c r="CI18" s="67">
        <f t="shared" si="16"/>
        <v>53.000000000000036</v>
      </c>
    </row>
    <row r="19" spans="1:87" ht="12.75">
      <c r="A19" s="7" t="s">
        <v>2</v>
      </c>
      <c r="B19" s="98"/>
      <c r="C19" s="18">
        <f>C18/C6</f>
        <v>0.1793617021276596</v>
      </c>
      <c r="D19" s="98"/>
      <c r="E19" s="18">
        <f>E18/E6</f>
        <v>0.21772694781987134</v>
      </c>
      <c r="F19" s="98"/>
      <c r="G19" s="18">
        <f>G18/G6</f>
        <v>0.20696927093793926</v>
      </c>
      <c r="H19" s="98"/>
      <c r="I19" s="18">
        <f aca="true" t="shared" si="17" ref="I19:W19">I18/I6</f>
        <v>0.2010108864696733</v>
      </c>
      <c r="J19" s="25">
        <f t="shared" si="17"/>
        <v>-0.02816901408450712</v>
      </c>
      <c r="K19" s="41">
        <f t="shared" si="17"/>
        <v>0.18901989683124532</v>
      </c>
      <c r="L19" s="18">
        <f t="shared" si="17"/>
        <v>0.2259319286871961</v>
      </c>
      <c r="M19" s="25">
        <f t="shared" si="17"/>
        <v>0.035190615835777206</v>
      </c>
      <c r="N19" s="41">
        <f t="shared" si="17"/>
        <v>0.20694687682428492</v>
      </c>
      <c r="O19" s="18">
        <f t="shared" si="17"/>
        <v>0.20747458092882662</v>
      </c>
      <c r="P19" s="25">
        <f t="shared" si="17"/>
        <v>0.024074074074074022</v>
      </c>
      <c r="Q19" s="41">
        <f t="shared" si="17"/>
        <v>0.18377602297200285</v>
      </c>
      <c r="R19" s="18">
        <f t="shared" si="17"/>
        <v>0.1874669487043892</v>
      </c>
      <c r="S19" s="25">
        <f t="shared" si="17"/>
        <v>0.026143790849673235</v>
      </c>
      <c r="T19" s="41">
        <f t="shared" si="17"/>
        <v>0.1700070738033482</v>
      </c>
      <c r="U19" s="18">
        <f t="shared" si="17"/>
        <v>0.20477137176938368</v>
      </c>
      <c r="V19" s="25">
        <f t="shared" si="17"/>
        <v>0.022267206477732643</v>
      </c>
      <c r="W19" s="60">
        <f t="shared" si="17"/>
        <v>0.18619505494505495</v>
      </c>
      <c r="X19" s="98"/>
      <c r="Y19" s="18">
        <f aca="true" t="shared" si="18" ref="Y19:BS19">Y18/Y6</f>
        <v>0.18130601792573622</v>
      </c>
      <c r="Z19" s="25">
        <f t="shared" si="18"/>
        <v>-0.004366812227074298</v>
      </c>
      <c r="AA19" s="41">
        <f t="shared" si="18"/>
        <v>0.1618152647261059</v>
      </c>
      <c r="AB19" s="18">
        <f t="shared" si="18"/>
        <v>0.190051967334818</v>
      </c>
      <c r="AC19" s="25">
        <f t="shared" si="18"/>
        <v>0.06873977086743048</v>
      </c>
      <c r="AD19" s="41">
        <f t="shared" si="18"/>
        <v>0.17769628271378557</v>
      </c>
      <c r="AE19" s="18">
        <f t="shared" si="18"/>
        <v>0.2154059956323207</v>
      </c>
      <c r="AF19" s="25">
        <f t="shared" si="18"/>
        <v>0.06918238993710696</v>
      </c>
      <c r="AG19" s="41">
        <f t="shared" si="18"/>
        <v>0.19901286797109105</v>
      </c>
      <c r="AH19" s="18">
        <f t="shared" si="18"/>
        <v>0.17539115317751588</v>
      </c>
      <c r="AI19" s="25">
        <f t="shared" si="18"/>
        <v>-0.0020746887966804676</v>
      </c>
      <c r="AJ19" s="41">
        <f t="shared" si="18"/>
        <v>0.16027566707898921</v>
      </c>
      <c r="AK19" s="18">
        <f t="shared" si="18"/>
        <v>0.19095709232583177</v>
      </c>
      <c r="AL19" s="25">
        <f t="shared" si="18"/>
        <v>0.0379515317786922</v>
      </c>
      <c r="AM19" s="60">
        <f t="shared" si="18"/>
        <v>0.1755324052733475</v>
      </c>
      <c r="AN19" s="98"/>
      <c r="AO19" s="18">
        <f t="shared" si="18"/>
        <v>0.17911895982922568</v>
      </c>
      <c r="AP19" s="25">
        <f t="shared" si="18"/>
        <v>-0.03970588235294126</v>
      </c>
      <c r="AQ19" s="41">
        <f t="shared" si="18"/>
        <v>0.15360877764443673</v>
      </c>
      <c r="AR19" s="18">
        <f t="shared" si="18"/>
        <v>0.1922323178336005</v>
      </c>
      <c r="AS19" s="25">
        <f t="shared" si="18"/>
        <v>0.07069672131147532</v>
      </c>
      <c r="AT19" s="41">
        <f t="shared" si="18"/>
        <v>0.17422977690089544</v>
      </c>
      <c r="AU19" s="18">
        <f t="shared" si="18"/>
        <v>0.21843785819551348</v>
      </c>
      <c r="AV19" s="25">
        <f t="shared" si="18"/>
        <v>0.05303030303030305</v>
      </c>
      <c r="AW19" s="41">
        <f t="shared" si="18"/>
        <v>0.19150102810143937</v>
      </c>
      <c r="AX19" s="18">
        <f t="shared" si="18"/>
        <v>0.18487131198995596</v>
      </c>
      <c r="AY19" s="25">
        <f t="shared" si="18"/>
        <v>0.03391384051329049</v>
      </c>
      <c r="AZ19" s="41">
        <f t="shared" si="18"/>
        <v>0.16280316226718475</v>
      </c>
      <c r="BA19" s="18">
        <f t="shared" si="18"/>
        <v>0.19419229941923</v>
      </c>
      <c r="BB19" s="25">
        <f t="shared" si="18"/>
        <v>0.03608640406607361</v>
      </c>
      <c r="BC19" s="60">
        <f t="shared" si="18"/>
        <v>0.17130242825607064</v>
      </c>
      <c r="BD19" s="98"/>
      <c r="BE19" s="18">
        <f t="shared" si="18"/>
        <v>0.16109698510715562</v>
      </c>
      <c r="BF19" s="25">
        <f t="shared" si="18"/>
        <v>-0.034623217922606836</v>
      </c>
      <c r="BG19" s="41">
        <f t="shared" si="18"/>
        <v>0.1314734895191121</v>
      </c>
      <c r="BH19" s="18">
        <f t="shared" si="18"/>
        <v>0.17232859789993826</v>
      </c>
      <c r="BI19" s="25">
        <f t="shared" si="18"/>
        <v>-0.04281891168599467</v>
      </c>
      <c r="BJ19" s="41">
        <f t="shared" si="18"/>
        <v>0.14058180860866135</v>
      </c>
      <c r="BK19" s="18">
        <f t="shared" si="18"/>
        <v>0.161308840413318</v>
      </c>
      <c r="BL19" s="25">
        <f t="shared" si="18"/>
        <v>-0.18025258323765792</v>
      </c>
      <c r="BM19" s="41">
        <f t="shared" si="18"/>
        <v>0.12335757111876512</v>
      </c>
      <c r="BN19" s="18">
        <f t="shared" si="18"/>
        <v>-0.47307968413496043</v>
      </c>
      <c r="BO19" s="25">
        <f t="shared" si="18"/>
        <v>0.008450704225352035</v>
      </c>
      <c r="BP19" s="41">
        <f t="shared" si="18"/>
        <v>-0.4497267759562841</v>
      </c>
      <c r="BQ19" s="18">
        <f t="shared" si="18"/>
        <v>-0.00648273200848934</v>
      </c>
      <c r="BR19" s="25">
        <f t="shared" si="18"/>
        <v>-0.07089215980775009</v>
      </c>
      <c r="BS19" s="60">
        <f t="shared" si="18"/>
        <v>-0.01381479961701543</v>
      </c>
      <c r="BT19" s="98"/>
      <c r="BU19" s="18">
        <f aca="true" t="shared" si="19" ref="BU19:CI19">BU18/BU6</f>
        <v>0.08387609213661634</v>
      </c>
      <c r="BV19" s="25">
        <f t="shared" si="19"/>
        <v>0.028169014084506942</v>
      </c>
      <c r="BW19" s="41">
        <f t="shared" si="19"/>
        <v>0.0832547910775998</v>
      </c>
      <c r="BX19" s="18" t="e">
        <f t="shared" si="19"/>
        <v>#DIV/0!</v>
      </c>
      <c r="BY19" s="25" t="e">
        <f t="shared" si="19"/>
        <v>#DIV/0!</v>
      </c>
      <c r="BZ19" s="41" t="e">
        <f t="shared" si="19"/>
        <v>#DIV/0!</v>
      </c>
      <c r="CA19" s="18" t="e">
        <f t="shared" si="19"/>
        <v>#DIV/0!</v>
      </c>
      <c r="CB19" s="25" t="e">
        <f t="shared" si="19"/>
        <v>#DIV/0!</v>
      </c>
      <c r="CC19" s="41" t="e">
        <f t="shared" si="19"/>
        <v>#DIV/0!</v>
      </c>
      <c r="CD19" s="18" t="e">
        <f t="shared" si="19"/>
        <v>#DIV/0!</v>
      </c>
      <c r="CE19" s="25" t="e">
        <f t="shared" si="19"/>
        <v>#DIV/0!</v>
      </c>
      <c r="CF19" s="41" t="e">
        <f t="shared" si="19"/>
        <v>#DIV/0!</v>
      </c>
      <c r="CG19" s="18">
        <f t="shared" si="19"/>
        <v>0.08387609213661634</v>
      </c>
      <c r="CH19" s="25">
        <f t="shared" si="19"/>
        <v>0.028169014084506942</v>
      </c>
      <c r="CI19" s="60">
        <f t="shared" si="19"/>
        <v>0.0832547910775998</v>
      </c>
    </row>
    <row r="20" spans="1:87" s="4" customFormat="1" ht="11.25">
      <c r="A20" s="48"/>
      <c r="B20" s="101"/>
      <c r="C20" s="20"/>
      <c r="D20" s="101"/>
      <c r="E20" s="20"/>
      <c r="F20" s="101"/>
      <c r="G20" s="20"/>
      <c r="H20" s="101"/>
      <c r="I20" s="20"/>
      <c r="J20" s="27"/>
      <c r="K20" s="43"/>
      <c r="L20" s="20"/>
      <c r="M20" s="27"/>
      <c r="N20" s="43"/>
      <c r="O20" s="20"/>
      <c r="P20" s="27"/>
      <c r="Q20" s="43"/>
      <c r="R20" s="20"/>
      <c r="S20" s="27"/>
      <c r="T20" s="43"/>
      <c r="U20" s="20"/>
      <c r="V20" s="27"/>
      <c r="W20" s="62"/>
      <c r="X20" s="101"/>
      <c r="Y20" s="20"/>
      <c r="Z20" s="27"/>
      <c r="AA20" s="43"/>
      <c r="AB20" s="20"/>
      <c r="AC20" s="27"/>
      <c r="AD20" s="43"/>
      <c r="AE20" s="20"/>
      <c r="AF20" s="27"/>
      <c r="AG20" s="43"/>
      <c r="AH20" s="20"/>
      <c r="AI20" s="27"/>
      <c r="AJ20" s="43"/>
      <c r="AK20" s="20"/>
      <c r="AL20" s="27"/>
      <c r="AM20" s="62"/>
      <c r="AN20" s="101"/>
      <c r="AO20" s="20"/>
      <c r="AP20" s="27"/>
      <c r="AQ20" s="43"/>
      <c r="AR20" s="20"/>
      <c r="AS20" s="27"/>
      <c r="AT20" s="43"/>
      <c r="AU20" s="20"/>
      <c r="AV20" s="27"/>
      <c r="AW20" s="43"/>
      <c r="AX20" s="20"/>
      <c r="AY20" s="27"/>
      <c r="AZ20" s="43"/>
      <c r="BA20" s="20"/>
      <c r="BB20" s="27"/>
      <c r="BC20" s="62"/>
      <c r="BD20" s="101"/>
      <c r="BE20" s="20"/>
      <c r="BF20" s="27"/>
      <c r="BG20" s="43"/>
      <c r="BH20" s="20"/>
      <c r="BI20" s="27"/>
      <c r="BJ20" s="43"/>
      <c r="BK20" s="20"/>
      <c r="BL20" s="27"/>
      <c r="BM20" s="43"/>
      <c r="BN20" s="20"/>
      <c r="BO20" s="27"/>
      <c r="BP20" s="43"/>
      <c r="BQ20" s="20"/>
      <c r="BR20" s="27"/>
      <c r="BS20" s="62"/>
      <c r="BT20" s="101"/>
      <c r="BU20" s="20"/>
      <c r="BV20" s="27"/>
      <c r="BW20" s="43"/>
      <c r="BX20" s="20"/>
      <c r="BY20" s="27"/>
      <c r="BZ20" s="43"/>
      <c r="CA20" s="20"/>
      <c r="CB20" s="27"/>
      <c r="CC20" s="43"/>
      <c r="CD20" s="20"/>
      <c r="CE20" s="27"/>
      <c r="CF20" s="43"/>
      <c r="CG20" s="20"/>
      <c r="CH20" s="27"/>
      <c r="CI20" s="62"/>
    </row>
    <row r="21" spans="1:87" s="68" customFormat="1" ht="12.75">
      <c r="A21" s="76" t="s">
        <v>5</v>
      </c>
      <c r="B21" s="99"/>
      <c r="C21" s="70">
        <v>0</v>
      </c>
      <c r="D21" s="99"/>
      <c r="E21" s="70">
        <v>2.8</v>
      </c>
      <c r="F21" s="99"/>
      <c r="G21" s="70">
        <v>1.9</v>
      </c>
      <c r="H21" s="99"/>
      <c r="I21" s="70">
        <f>K21-J21</f>
        <v>0.2</v>
      </c>
      <c r="J21" s="77"/>
      <c r="K21" s="78">
        <v>0.2</v>
      </c>
      <c r="L21" s="70">
        <f>N21-M21</f>
        <v>0.8</v>
      </c>
      <c r="M21" s="77"/>
      <c r="N21" s="78">
        <v>0.8</v>
      </c>
      <c r="O21" s="70">
        <f>Q21-P21</f>
        <v>3</v>
      </c>
      <c r="P21" s="77"/>
      <c r="Q21" s="78">
        <v>3</v>
      </c>
      <c r="R21" s="70">
        <f>T21-S21</f>
        <v>3.6</v>
      </c>
      <c r="S21" s="77"/>
      <c r="T21" s="78">
        <v>3.6</v>
      </c>
      <c r="U21" s="70">
        <f>W21-V21</f>
        <v>7.6</v>
      </c>
      <c r="V21" s="73">
        <f>J21+M21+P21+S21</f>
        <v>0</v>
      </c>
      <c r="W21" s="74">
        <f>K21+N21+Q21+T21</f>
        <v>7.6</v>
      </c>
      <c r="X21" s="99"/>
      <c r="Y21" s="70">
        <f>AA21-Z21</f>
        <v>1.5</v>
      </c>
      <c r="Z21" s="77"/>
      <c r="AA21" s="78">
        <v>1.5</v>
      </c>
      <c r="AB21" s="70">
        <f>AD21-AC21</f>
        <v>7</v>
      </c>
      <c r="AC21" s="77"/>
      <c r="AD21" s="78">
        <v>7</v>
      </c>
      <c r="AE21" s="70">
        <f>AG21-AF21</f>
        <v>7.1</v>
      </c>
      <c r="AF21" s="77"/>
      <c r="AG21" s="78">
        <v>7.1</v>
      </c>
      <c r="AH21" s="70">
        <f>AJ21-AI21</f>
        <v>-2.4</v>
      </c>
      <c r="AI21" s="77"/>
      <c r="AJ21" s="78">
        <v>-2.4</v>
      </c>
      <c r="AK21" s="70">
        <f>AM21-AL21</f>
        <v>13.2</v>
      </c>
      <c r="AL21" s="73">
        <f>Z21+AC21+AF21+AI21</f>
        <v>0</v>
      </c>
      <c r="AM21" s="74">
        <f>AA21+AD21+AG21+AJ21</f>
        <v>13.2</v>
      </c>
      <c r="AN21" s="99"/>
      <c r="AO21" s="70">
        <f>AQ21-AP21</f>
        <v>0.8</v>
      </c>
      <c r="AP21" s="77"/>
      <c r="AQ21" s="78">
        <v>0.8</v>
      </c>
      <c r="AR21" s="70">
        <f>AT21-AS21</f>
        <v>0.7</v>
      </c>
      <c r="AS21" s="77"/>
      <c r="AT21" s="78">
        <v>0.7</v>
      </c>
      <c r="AU21" s="70">
        <f>AW21-AV21</f>
        <v>0.4</v>
      </c>
      <c r="AV21" s="77"/>
      <c r="AW21" s="78">
        <v>0.4</v>
      </c>
      <c r="AX21" s="70">
        <f>AZ21-AY21</f>
        <v>-1.3000000000000007</v>
      </c>
      <c r="AY21" s="77"/>
      <c r="AZ21" s="78">
        <f>-9.5+8.2</f>
        <v>-1.3000000000000007</v>
      </c>
      <c r="BA21" s="70">
        <f>BC21-BB21</f>
        <v>0.5999999999999992</v>
      </c>
      <c r="BB21" s="73">
        <f>AP21+AS21+AV21+AY21</f>
        <v>0</v>
      </c>
      <c r="BC21" s="74">
        <f>AQ21+AT21+AW21+AZ21</f>
        <v>0.5999999999999992</v>
      </c>
      <c r="BD21" s="99"/>
      <c r="BE21" s="70">
        <f>BG21-BF21</f>
        <v>-0.8</v>
      </c>
      <c r="BF21" s="77"/>
      <c r="BG21" s="78">
        <v>-0.8</v>
      </c>
      <c r="BH21" s="70">
        <f>BJ21-BI21</f>
        <v>-0.4</v>
      </c>
      <c r="BI21" s="77"/>
      <c r="BJ21" s="78">
        <v>-0.4</v>
      </c>
      <c r="BK21" s="70">
        <f>BM21-BL21</f>
        <v>-0.3</v>
      </c>
      <c r="BL21" s="77"/>
      <c r="BM21" s="78">
        <v>-0.3</v>
      </c>
      <c r="BN21" s="70">
        <f>BP21-BO21</f>
        <v>-0.9</v>
      </c>
      <c r="BO21" s="77"/>
      <c r="BP21" s="78">
        <v>-0.9</v>
      </c>
      <c r="BQ21" s="70">
        <f>BS21-BR21</f>
        <v>-2.4000000000000004</v>
      </c>
      <c r="BR21" s="73">
        <f>BF21+BI21+BL21+BO21</f>
        <v>0</v>
      </c>
      <c r="BS21" s="74">
        <f>BG21+BJ21+BM21+BP21</f>
        <v>-2.4000000000000004</v>
      </c>
      <c r="BT21" s="99"/>
      <c r="BU21" s="70">
        <f>BW21-BV21</f>
        <v>-0.5</v>
      </c>
      <c r="BV21" s="77"/>
      <c r="BW21" s="78">
        <v>-0.5</v>
      </c>
      <c r="BX21" s="70">
        <f>BZ21-BY21</f>
        <v>0</v>
      </c>
      <c r="BY21" s="77"/>
      <c r="BZ21" s="78"/>
      <c r="CA21" s="70">
        <f>CC21-CB21</f>
        <v>0</v>
      </c>
      <c r="CB21" s="77"/>
      <c r="CC21" s="78"/>
      <c r="CD21" s="70">
        <f>CF21-CE21</f>
        <v>0</v>
      </c>
      <c r="CE21" s="77"/>
      <c r="CF21" s="78"/>
      <c r="CG21" s="70">
        <f>CI21-CH21</f>
        <v>-0.5</v>
      </c>
      <c r="CH21" s="73">
        <f>BV21+BY21+CB21+CE21</f>
        <v>0</v>
      </c>
      <c r="CI21" s="74">
        <f>BW21+BZ21+CC21+CF21</f>
        <v>-0.5</v>
      </c>
    </row>
    <row r="22" spans="1:87" s="68" customFormat="1" ht="12.75">
      <c r="A22" s="76" t="s">
        <v>6</v>
      </c>
      <c r="B22" s="99"/>
      <c r="C22" s="70">
        <v>-4.2</v>
      </c>
      <c r="D22" s="99"/>
      <c r="E22" s="70">
        <v>-5.9</v>
      </c>
      <c r="F22" s="99"/>
      <c r="G22" s="70">
        <v>-10</v>
      </c>
      <c r="H22" s="99"/>
      <c r="I22" s="70">
        <f>K22-J22</f>
        <v>-1.9000000000000001</v>
      </c>
      <c r="J22" s="77">
        <v>-0.2</v>
      </c>
      <c r="K22" s="78">
        <v>-2.1</v>
      </c>
      <c r="L22" s="70">
        <f>N22-M22</f>
        <v>-6.3999999999999995</v>
      </c>
      <c r="M22" s="77">
        <v>-0.2</v>
      </c>
      <c r="N22" s="78">
        <v>-6.6</v>
      </c>
      <c r="O22" s="70">
        <f>Q22-P22</f>
        <v>-7.3999999999999995</v>
      </c>
      <c r="P22" s="77">
        <v>-0.2</v>
      </c>
      <c r="Q22" s="78">
        <v>-7.6</v>
      </c>
      <c r="R22" s="70">
        <f>T22-S22</f>
        <v>-8</v>
      </c>
      <c r="S22" s="77">
        <v>-0.3</v>
      </c>
      <c r="T22" s="78">
        <v>-8.3</v>
      </c>
      <c r="U22" s="70">
        <f>W22-V22</f>
        <v>-23.7</v>
      </c>
      <c r="V22" s="73">
        <f>J22+M22+P22+S22</f>
        <v>-0.9000000000000001</v>
      </c>
      <c r="W22" s="74">
        <f>K22+N22+Q22+T22</f>
        <v>-24.599999999999998</v>
      </c>
      <c r="X22" s="99"/>
      <c r="Y22" s="70">
        <f>AA22-Z22</f>
        <v>1.4000000000000001</v>
      </c>
      <c r="Z22" s="77">
        <v>-0.3</v>
      </c>
      <c r="AA22" s="78">
        <v>1.1</v>
      </c>
      <c r="AB22" s="70">
        <f>AD22-AC22</f>
        <v>6.2</v>
      </c>
      <c r="AC22" s="77">
        <v>-0.4</v>
      </c>
      <c r="AD22" s="78">
        <v>5.8</v>
      </c>
      <c r="AE22" s="70">
        <f>AG22-AF22</f>
        <v>1.3</v>
      </c>
      <c r="AF22" s="77">
        <v>-0.3</v>
      </c>
      <c r="AG22" s="78">
        <v>1</v>
      </c>
      <c r="AH22" s="70">
        <f>AJ22-AI22</f>
        <v>4.3999999999999995</v>
      </c>
      <c r="AI22" s="77">
        <v>-0.3</v>
      </c>
      <c r="AJ22" s="78">
        <v>4.1</v>
      </c>
      <c r="AK22" s="70">
        <f>AM22-AL22</f>
        <v>13.3</v>
      </c>
      <c r="AL22" s="73">
        <f>Z22+AC22+AF22+AI22</f>
        <v>-1.3</v>
      </c>
      <c r="AM22" s="74">
        <f>AA22+AD22+AG22+AJ22</f>
        <v>12</v>
      </c>
      <c r="AN22" s="99"/>
      <c r="AO22" s="70">
        <f>AQ22-AP22</f>
        <v>-0.20000000000000018</v>
      </c>
      <c r="AP22" s="77">
        <v>-4</v>
      </c>
      <c r="AQ22" s="78">
        <v>-4.2</v>
      </c>
      <c r="AR22" s="70">
        <f>AT22-AS22</f>
        <v>-0.8000000000000003</v>
      </c>
      <c r="AS22" s="77">
        <v>-2.8</v>
      </c>
      <c r="AT22" s="78">
        <v>-3.6</v>
      </c>
      <c r="AU22" s="70">
        <f>AW22-AV22</f>
        <v>10.8</v>
      </c>
      <c r="AV22" s="77">
        <v>-3.1</v>
      </c>
      <c r="AW22" s="78">
        <v>7.7</v>
      </c>
      <c r="AX22" s="70">
        <f>AZ22-AY22</f>
        <v>30.799999999999997</v>
      </c>
      <c r="AY22" s="77">
        <v>-4.4</v>
      </c>
      <c r="AZ22" s="78">
        <v>26.4</v>
      </c>
      <c r="BA22" s="70">
        <f>BC22-BB22</f>
        <v>40.599999999999994</v>
      </c>
      <c r="BB22" s="73">
        <f>AP22+AS22+AV22+AY22</f>
        <v>-14.3</v>
      </c>
      <c r="BC22" s="74">
        <f>AQ22+AT22+AW22+AZ22</f>
        <v>26.299999999999997</v>
      </c>
      <c r="BD22" s="99"/>
      <c r="BE22" s="70">
        <f>BG22-BF22</f>
        <v>18.3</v>
      </c>
      <c r="BF22" s="77">
        <v>-5</v>
      </c>
      <c r="BG22" s="78">
        <v>13.3</v>
      </c>
      <c r="BH22" s="70">
        <f>BJ22-BI22</f>
        <v>29.7</v>
      </c>
      <c r="BI22" s="77">
        <v>-3.8</v>
      </c>
      <c r="BJ22" s="78">
        <v>25.9</v>
      </c>
      <c r="BK22" s="70">
        <f>BM22-BL22</f>
        <v>31.400000000000002</v>
      </c>
      <c r="BL22" s="77">
        <v>-5.3</v>
      </c>
      <c r="BM22" s="78">
        <v>26.1</v>
      </c>
      <c r="BN22" s="70">
        <f>BP22-BO22</f>
        <v>40.3</v>
      </c>
      <c r="BO22" s="77">
        <v>-0.3</v>
      </c>
      <c r="BP22" s="78">
        <v>40</v>
      </c>
      <c r="BQ22" s="70">
        <f>BS22-BR22</f>
        <v>119.70000000000002</v>
      </c>
      <c r="BR22" s="73">
        <f>BF22+BI22+BL22+BO22</f>
        <v>-14.400000000000002</v>
      </c>
      <c r="BS22" s="74">
        <f>BG22+BJ22+BM22+BP22</f>
        <v>105.30000000000001</v>
      </c>
      <c r="BT22" s="99"/>
      <c r="BU22" s="70">
        <f>BW22-BV22</f>
        <v>28.3</v>
      </c>
      <c r="BV22" s="77">
        <v>-0.2</v>
      </c>
      <c r="BW22" s="78">
        <v>28.1</v>
      </c>
      <c r="BX22" s="70">
        <f>BZ22-BY22</f>
        <v>0</v>
      </c>
      <c r="BY22" s="77"/>
      <c r="BZ22" s="78"/>
      <c r="CA22" s="70">
        <f>CC22-CB22</f>
        <v>0</v>
      </c>
      <c r="CB22" s="77"/>
      <c r="CC22" s="78"/>
      <c r="CD22" s="70">
        <f>CF22-CE22</f>
        <v>0</v>
      </c>
      <c r="CE22" s="77"/>
      <c r="CF22" s="78"/>
      <c r="CG22" s="70">
        <f>CI22-CH22</f>
        <v>28.3</v>
      </c>
      <c r="CH22" s="73">
        <f>BV22+BY22+CB22+CE22</f>
        <v>-0.2</v>
      </c>
      <c r="CI22" s="74">
        <f>BW22+BZ22+CC22+CF22</f>
        <v>28.1</v>
      </c>
    </row>
    <row r="23" spans="1:87" s="85" customFormat="1" ht="11.25">
      <c r="A23" s="80"/>
      <c r="B23" s="102"/>
      <c r="C23" s="81"/>
      <c r="D23" s="102"/>
      <c r="E23" s="81"/>
      <c r="F23" s="102"/>
      <c r="G23" s="81"/>
      <c r="H23" s="102"/>
      <c r="I23" s="81"/>
      <c r="J23" s="82"/>
      <c r="K23" s="83"/>
      <c r="L23" s="81"/>
      <c r="M23" s="82"/>
      <c r="N23" s="83"/>
      <c r="O23" s="81"/>
      <c r="P23" s="82"/>
      <c r="Q23" s="83"/>
      <c r="R23" s="81"/>
      <c r="S23" s="82"/>
      <c r="T23" s="83"/>
      <c r="U23" s="81"/>
      <c r="V23" s="82"/>
      <c r="W23" s="84"/>
      <c r="X23" s="102"/>
      <c r="Y23" s="81"/>
      <c r="Z23" s="82"/>
      <c r="AA23" s="83"/>
      <c r="AB23" s="81"/>
      <c r="AC23" s="82"/>
      <c r="AD23" s="83"/>
      <c r="AE23" s="81"/>
      <c r="AF23" s="82"/>
      <c r="AG23" s="83"/>
      <c r="AH23" s="81"/>
      <c r="AI23" s="82"/>
      <c r="AJ23" s="83"/>
      <c r="AK23" s="81"/>
      <c r="AL23" s="82"/>
      <c r="AM23" s="84"/>
      <c r="AN23" s="102"/>
      <c r="AO23" s="81"/>
      <c r="AP23" s="82"/>
      <c r="AQ23" s="83"/>
      <c r="AR23" s="81"/>
      <c r="AS23" s="82"/>
      <c r="AT23" s="83"/>
      <c r="AU23" s="81"/>
      <c r="AV23" s="82"/>
      <c r="AW23" s="83"/>
      <c r="AX23" s="81"/>
      <c r="AY23" s="82"/>
      <c r="AZ23" s="83"/>
      <c r="BA23" s="81"/>
      <c r="BB23" s="82"/>
      <c r="BC23" s="84"/>
      <c r="BD23" s="102"/>
      <c r="BE23" s="81"/>
      <c r="BF23" s="82"/>
      <c r="BG23" s="83"/>
      <c r="BH23" s="81"/>
      <c r="BI23" s="82"/>
      <c r="BJ23" s="83"/>
      <c r="BK23" s="81"/>
      <c r="BL23" s="82"/>
      <c r="BM23" s="83"/>
      <c r="BN23" s="81"/>
      <c r="BO23" s="82"/>
      <c r="BP23" s="83"/>
      <c r="BQ23" s="81"/>
      <c r="BR23" s="82"/>
      <c r="BS23" s="84"/>
      <c r="BT23" s="102"/>
      <c r="BU23" s="81"/>
      <c r="BV23" s="82"/>
      <c r="BW23" s="83"/>
      <c r="BX23" s="81"/>
      <c r="BY23" s="82"/>
      <c r="BZ23" s="83"/>
      <c r="CA23" s="81"/>
      <c r="CB23" s="82"/>
      <c r="CC23" s="83"/>
      <c r="CD23" s="81"/>
      <c r="CE23" s="82"/>
      <c r="CF23" s="83"/>
      <c r="CG23" s="81"/>
      <c r="CH23" s="82"/>
      <c r="CI23" s="84"/>
    </row>
    <row r="24" spans="1:87" s="68" customFormat="1" ht="12.75">
      <c r="A24" s="65" t="s">
        <v>47</v>
      </c>
      <c r="B24" s="97"/>
      <c r="C24" s="66">
        <f>C18+SUM(C21:C22)</f>
        <v>80.10000000000001</v>
      </c>
      <c r="D24" s="97"/>
      <c r="E24" s="66">
        <f>E18+SUM(E21:E22)</f>
        <v>149.20000000000002</v>
      </c>
      <c r="F24" s="97"/>
      <c r="G24" s="66">
        <f>G18+SUM(G21:G22)</f>
        <v>197.99999999999991</v>
      </c>
      <c r="H24" s="97"/>
      <c r="I24" s="66">
        <f aca="true" t="shared" si="20" ref="I24:W24">I18+SUM(I21:I22)</f>
        <v>49.999999999999964</v>
      </c>
      <c r="J24" s="66">
        <f t="shared" si="20"/>
        <v>-0.6000000000000011</v>
      </c>
      <c r="K24" s="67">
        <f t="shared" si="20"/>
        <v>49.39999999999998</v>
      </c>
      <c r="L24" s="66">
        <f t="shared" si="20"/>
        <v>64.10000000000001</v>
      </c>
      <c r="M24" s="66">
        <f t="shared" si="20"/>
        <v>1.0000000000000029</v>
      </c>
      <c r="N24" s="67">
        <f t="shared" si="20"/>
        <v>65.10000000000002</v>
      </c>
      <c r="O24" s="66">
        <f t="shared" si="20"/>
        <v>71.1</v>
      </c>
      <c r="P24" s="66">
        <f t="shared" si="20"/>
        <v>1.0999999999999972</v>
      </c>
      <c r="Q24" s="67">
        <f t="shared" si="20"/>
        <v>72.19999999999999</v>
      </c>
      <c r="R24" s="66">
        <f t="shared" si="20"/>
        <v>66.5</v>
      </c>
      <c r="S24" s="66">
        <f t="shared" si="20"/>
        <v>0.9000000000000015</v>
      </c>
      <c r="T24" s="67">
        <f t="shared" si="20"/>
        <v>67.39999999999998</v>
      </c>
      <c r="U24" s="66">
        <f t="shared" si="20"/>
        <v>251.69999999999996</v>
      </c>
      <c r="V24" s="66">
        <f t="shared" si="20"/>
        <v>2.3999999999999773</v>
      </c>
      <c r="W24" s="67">
        <f t="shared" si="20"/>
        <v>254.10000000000002</v>
      </c>
      <c r="X24" s="97"/>
      <c r="Y24" s="66">
        <f aca="true" t="shared" si="21" ref="Y24:BS24">Y18+SUM(Y21:Y22)</f>
        <v>73.7</v>
      </c>
      <c r="Z24" s="66">
        <f t="shared" si="21"/>
        <v>-0.5000000000000029</v>
      </c>
      <c r="AA24" s="67">
        <f t="shared" si="21"/>
        <v>73.2</v>
      </c>
      <c r="AB24" s="66">
        <f t="shared" si="21"/>
        <v>115.59999999999992</v>
      </c>
      <c r="AC24" s="66">
        <f t="shared" si="21"/>
        <v>3.800000000000003</v>
      </c>
      <c r="AD24" s="67">
        <f t="shared" si="21"/>
        <v>119.39999999999996</v>
      </c>
      <c r="AE24" s="66">
        <f t="shared" si="21"/>
        <v>116.89999999999993</v>
      </c>
      <c r="AF24" s="66">
        <f t="shared" si="21"/>
        <v>4.100000000000003</v>
      </c>
      <c r="AG24" s="67">
        <f t="shared" si="21"/>
        <v>120.99999999999994</v>
      </c>
      <c r="AH24" s="66">
        <f t="shared" si="21"/>
        <v>92.79999999999997</v>
      </c>
      <c r="AI24" s="66">
        <f t="shared" si="21"/>
        <v>-0.3999999999999985</v>
      </c>
      <c r="AJ24" s="67">
        <f t="shared" si="21"/>
        <v>92.39999999999999</v>
      </c>
      <c r="AK24" s="66">
        <f t="shared" si="21"/>
        <v>399.00000000000006</v>
      </c>
      <c r="AL24" s="66">
        <f t="shared" si="21"/>
        <v>6.999999999999983</v>
      </c>
      <c r="AM24" s="67">
        <f t="shared" si="21"/>
        <v>406.0000000000001</v>
      </c>
      <c r="AN24" s="97"/>
      <c r="AO24" s="66">
        <f t="shared" si="21"/>
        <v>92.89999999999998</v>
      </c>
      <c r="AP24" s="66">
        <f t="shared" si="21"/>
        <v>-6.7000000000000055</v>
      </c>
      <c r="AQ24" s="67">
        <f t="shared" si="21"/>
        <v>86.19999999999993</v>
      </c>
      <c r="AR24" s="66">
        <f t="shared" si="21"/>
        <v>107.79999999999997</v>
      </c>
      <c r="AS24" s="66">
        <f t="shared" si="21"/>
        <v>4.099999999999992</v>
      </c>
      <c r="AT24" s="67">
        <f t="shared" si="21"/>
        <v>111.9</v>
      </c>
      <c r="AU24" s="66">
        <f t="shared" si="21"/>
        <v>144.60000000000008</v>
      </c>
      <c r="AV24" s="66">
        <f t="shared" si="21"/>
        <v>3.2000000000000024</v>
      </c>
      <c r="AW24" s="67">
        <f t="shared" si="21"/>
        <v>147.8</v>
      </c>
      <c r="AX24" s="66">
        <f t="shared" si="21"/>
        <v>147.29999999999993</v>
      </c>
      <c r="AY24" s="66">
        <f t="shared" si="21"/>
        <v>-0.7000000000000086</v>
      </c>
      <c r="AZ24" s="67">
        <f t="shared" si="21"/>
        <v>146.59999999999997</v>
      </c>
      <c r="BA24" s="66">
        <f t="shared" si="21"/>
        <v>492.60000000000014</v>
      </c>
      <c r="BB24" s="66">
        <f t="shared" si="21"/>
        <v>-0.10000000000003695</v>
      </c>
      <c r="BC24" s="67">
        <f t="shared" si="21"/>
        <v>492.5</v>
      </c>
      <c r="BD24" s="97"/>
      <c r="BE24" s="66">
        <f t="shared" si="21"/>
        <v>106.19999999999986</v>
      </c>
      <c r="BF24" s="66">
        <f t="shared" si="21"/>
        <v>-8.399999999999991</v>
      </c>
      <c r="BG24" s="67">
        <f t="shared" si="21"/>
        <v>97.79999999999994</v>
      </c>
      <c r="BH24" s="66">
        <f t="shared" si="21"/>
        <v>140.90000000000003</v>
      </c>
      <c r="BI24" s="66">
        <f t="shared" si="21"/>
        <v>-8.600000000000001</v>
      </c>
      <c r="BJ24" s="67">
        <f t="shared" si="21"/>
        <v>132.3</v>
      </c>
      <c r="BK24" s="66">
        <f t="shared" si="21"/>
        <v>143.49999999999997</v>
      </c>
      <c r="BL24" s="66">
        <f t="shared" si="21"/>
        <v>-21.000000000000004</v>
      </c>
      <c r="BM24" s="67">
        <f t="shared" si="21"/>
        <v>122.49999999999997</v>
      </c>
      <c r="BN24" s="66">
        <f t="shared" si="21"/>
        <v>-290.09999999999997</v>
      </c>
      <c r="BO24" s="66">
        <f t="shared" si="21"/>
        <v>-2.7200464103316335E-15</v>
      </c>
      <c r="BP24" s="67">
        <f t="shared" si="21"/>
        <v>-290.0999999999999</v>
      </c>
      <c r="BQ24" s="66">
        <f t="shared" si="21"/>
        <v>100.49999999999989</v>
      </c>
      <c r="BR24" s="66">
        <f t="shared" si="21"/>
        <v>-38</v>
      </c>
      <c r="BS24" s="67">
        <f t="shared" si="21"/>
        <v>62.500000000000085</v>
      </c>
      <c r="BT24" s="97"/>
      <c r="BU24" s="66">
        <f aca="true" t="shared" si="22" ref="BU24:CI24">BU18+SUM(BU21:BU22)</f>
        <v>80.6</v>
      </c>
      <c r="BV24" s="66">
        <f t="shared" si="22"/>
        <v>-7.216449660063518E-16</v>
      </c>
      <c r="BW24" s="67">
        <f t="shared" si="22"/>
        <v>80.60000000000004</v>
      </c>
      <c r="BX24" s="66">
        <f t="shared" si="22"/>
        <v>0</v>
      </c>
      <c r="BY24" s="66">
        <f t="shared" si="22"/>
        <v>0</v>
      </c>
      <c r="BZ24" s="67">
        <f t="shared" si="22"/>
        <v>0</v>
      </c>
      <c r="CA24" s="66">
        <f t="shared" si="22"/>
        <v>0</v>
      </c>
      <c r="CB24" s="66">
        <f t="shared" si="22"/>
        <v>0</v>
      </c>
      <c r="CC24" s="67">
        <f t="shared" si="22"/>
        <v>0</v>
      </c>
      <c r="CD24" s="66">
        <f t="shared" si="22"/>
        <v>0</v>
      </c>
      <c r="CE24" s="66">
        <f t="shared" si="22"/>
        <v>0</v>
      </c>
      <c r="CF24" s="67">
        <f t="shared" si="22"/>
        <v>0</v>
      </c>
      <c r="CG24" s="66">
        <f t="shared" si="22"/>
        <v>80.6</v>
      </c>
      <c r="CH24" s="66">
        <f t="shared" si="22"/>
        <v>-7.216449660063518E-16</v>
      </c>
      <c r="CI24" s="67">
        <f t="shared" si="22"/>
        <v>80.60000000000004</v>
      </c>
    </row>
    <row r="25" spans="1:87" ht="12.75">
      <c r="A25" s="7" t="s">
        <v>2</v>
      </c>
      <c r="B25" s="98"/>
      <c r="C25" s="18">
        <f>C24/C6</f>
        <v>0.17042553191489362</v>
      </c>
      <c r="D25" s="98"/>
      <c r="E25" s="18">
        <f>E24/E6</f>
        <v>0.21329521086490352</v>
      </c>
      <c r="F25" s="98"/>
      <c r="G25" s="18">
        <f>G24/G6</f>
        <v>0.19883510745129537</v>
      </c>
      <c r="H25" s="98"/>
      <c r="I25" s="18">
        <f aca="true" t="shared" si="23" ref="I25:W25">I24/I6</f>
        <v>0.19440124416796253</v>
      </c>
      <c r="J25" s="25">
        <f t="shared" si="23"/>
        <v>-0.04225352112676064</v>
      </c>
      <c r="K25" s="41">
        <f t="shared" si="23"/>
        <v>0.18201915991156958</v>
      </c>
      <c r="L25" s="18">
        <f t="shared" si="23"/>
        <v>0.20777957860615887</v>
      </c>
      <c r="M25" s="25">
        <f t="shared" si="23"/>
        <v>0.029325513196481023</v>
      </c>
      <c r="N25" s="41">
        <f t="shared" si="23"/>
        <v>0.19001751313485118</v>
      </c>
      <c r="O25" s="18">
        <f t="shared" si="23"/>
        <v>0.1953833470733718</v>
      </c>
      <c r="P25" s="25">
        <f t="shared" si="23"/>
        <v>0.02037037037037032</v>
      </c>
      <c r="Q25" s="41">
        <f t="shared" si="23"/>
        <v>0.17276860492940893</v>
      </c>
      <c r="R25" s="18">
        <f t="shared" si="23"/>
        <v>0.17583289264939184</v>
      </c>
      <c r="S25" s="25">
        <f t="shared" si="23"/>
        <v>0.019607843137254933</v>
      </c>
      <c r="T25" s="41">
        <f t="shared" si="23"/>
        <v>0.15892478189106338</v>
      </c>
      <c r="U25" s="18">
        <f t="shared" si="23"/>
        <v>0.19246062089004431</v>
      </c>
      <c r="V25" s="25">
        <f t="shared" si="23"/>
        <v>0.016194331983805516</v>
      </c>
      <c r="W25" s="60">
        <f t="shared" si="23"/>
        <v>0.1745192307692308</v>
      </c>
      <c r="X25" s="98"/>
      <c r="Y25" s="18">
        <f aca="true" t="shared" si="24" ref="Y25:BS25">Y24/Y6</f>
        <v>0.18873239436619718</v>
      </c>
      <c r="Z25" s="25">
        <f t="shared" si="24"/>
        <v>-0.010917030567685653</v>
      </c>
      <c r="AA25" s="41">
        <f t="shared" si="24"/>
        <v>0.16777446710978686</v>
      </c>
      <c r="AB25" s="18">
        <f t="shared" si="24"/>
        <v>0.2145508537490719</v>
      </c>
      <c r="AC25" s="25">
        <f t="shared" si="24"/>
        <v>0.062193126022913305</v>
      </c>
      <c r="AD25" s="41">
        <f t="shared" si="24"/>
        <v>0.19903317219536584</v>
      </c>
      <c r="AE25" s="18">
        <f t="shared" si="24"/>
        <v>0.2320825888425649</v>
      </c>
      <c r="AF25" s="25">
        <f t="shared" si="24"/>
        <v>0.0644654088050315</v>
      </c>
      <c r="AG25" s="41">
        <f t="shared" si="24"/>
        <v>0.21329102767495145</v>
      </c>
      <c r="AH25" s="18">
        <f t="shared" si="24"/>
        <v>0.17925439443693256</v>
      </c>
      <c r="AI25" s="25">
        <f t="shared" si="24"/>
        <v>-0.00829875518672196</v>
      </c>
      <c r="AJ25" s="41">
        <f t="shared" si="24"/>
        <v>0.16327973140130764</v>
      </c>
      <c r="AK25" s="18">
        <f t="shared" si="24"/>
        <v>0.20454195929666277</v>
      </c>
      <c r="AL25" s="25">
        <f t="shared" si="24"/>
        <v>0.032007315957933165</v>
      </c>
      <c r="AM25" s="60">
        <f t="shared" si="24"/>
        <v>0.1871485203282014</v>
      </c>
      <c r="AN25" s="98"/>
      <c r="AO25" s="18">
        <f t="shared" si="24"/>
        <v>0.18028333009897143</v>
      </c>
      <c r="AP25" s="25">
        <f t="shared" si="24"/>
        <v>-0.09852941176470596</v>
      </c>
      <c r="AQ25" s="41">
        <f t="shared" si="24"/>
        <v>0.14777987313560764</v>
      </c>
      <c r="AR25" s="18">
        <f t="shared" si="24"/>
        <v>0.19205415998574732</v>
      </c>
      <c r="AS25" s="25">
        <f t="shared" si="24"/>
        <v>0.04200819672131139</v>
      </c>
      <c r="AT25" s="41">
        <f t="shared" si="24"/>
        <v>0.16982850204886935</v>
      </c>
      <c r="AU25" s="18">
        <f t="shared" si="24"/>
        <v>0.23677746847879494</v>
      </c>
      <c r="AV25" s="25">
        <f t="shared" si="24"/>
        <v>0.026936026936026956</v>
      </c>
      <c r="AW25" s="41">
        <f t="shared" si="24"/>
        <v>0.2026045236463331</v>
      </c>
      <c r="AX25" s="18">
        <f t="shared" si="24"/>
        <v>0.23116760828625227</v>
      </c>
      <c r="AY25" s="25">
        <f t="shared" si="24"/>
        <v>-0.006416131989000996</v>
      </c>
      <c r="AZ25" s="41">
        <f t="shared" si="24"/>
        <v>0.19643574969851263</v>
      </c>
      <c r="BA25" s="18">
        <f t="shared" si="24"/>
        <v>0.21191654119165418</v>
      </c>
      <c r="BB25" s="25">
        <f t="shared" si="24"/>
        <v>-0.00025412960609920443</v>
      </c>
      <c r="BC25" s="60">
        <f t="shared" si="24"/>
        <v>0.18119941133186165</v>
      </c>
      <c r="BD25" s="98"/>
      <c r="BE25" s="18">
        <f t="shared" si="24"/>
        <v>0.1928804940065381</v>
      </c>
      <c r="BF25" s="25">
        <f t="shared" si="24"/>
        <v>-0.08553971486761702</v>
      </c>
      <c r="BG25" s="41">
        <f t="shared" si="24"/>
        <v>0.15073982737361274</v>
      </c>
      <c r="BH25" s="18">
        <f t="shared" si="24"/>
        <v>0.21757257566399016</v>
      </c>
      <c r="BI25" s="25">
        <f t="shared" si="24"/>
        <v>-0.07671721677074042</v>
      </c>
      <c r="BJ25" s="41">
        <f t="shared" si="24"/>
        <v>0.17414768987758325</v>
      </c>
      <c r="BK25" s="18">
        <f t="shared" si="24"/>
        <v>0.20594144661308839</v>
      </c>
      <c r="BL25" s="25">
        <f t="shared" si="24"/>
        <v>-0.24110218140068893</v>
      </c>
      <c r="BM25" s="41">
        <f t="shared" si="24"/>
        <v>0.15626993238933534</v>
      </c>
      <c r="BN25" s="18">
        <f t="shared" si="24"/>
        <v>-0.4165111270638908</v>
      </c>
      <c r="BO25" s="25">
        <f t="shared" si="24"/>
        <v>-7.66210256431446E-17</v>
      </c>
      <c r="BP25" s="41">
        <f t="shared" si="24"/>
        <v>-0.39631147540983597</v>
      </c>
      <c r="BQ25" s="18">
        <f t="shared" si="24"/>
        <v>0.03878062897935554</v>
      </c>
      <c r="BR25" s="25">
        <f t="shared" si="24"/>
        <v>-0.11414839291078403</v>
      </c>
      <c r="BS25" s="60">
        <f t="shared" si="24"/>
        <v>0.021371905348105624</v>
      </c>
      <c r="BT25" s="98"/>
      <c r="BU25" s="18">
        <f aca="true" t="shared" si="25" ref="BU25:CI25">BU24/BU6</f>
        <v>0.12803812549642574</v>
      </c>
      <c r="BV25" s="25">
        <f t="shared" si="25"/>
        <v>-1.0164013605723264E-16</v>
      </c>
      <c r="BW25" s="41">
        <f t="shared" si="25"/>
        <v>0.12661011624253854</v>
      </c>
      <c r="BX25" s="18" t="e">
        <f t="shared" si="25"/>
        <v>#DIV/0!</v>
      </c>
      <c r="BY25" s="25" t="e">
        <f t="shared" si="25"/>
        <v>#DIV/0!</v>
      </c>
      <c r="BZ25" s="41" t="e">
        <f t="shared" si="25"/>
        <v>#DIV/0!</v>
      </c>
      <c r="CA25" s="18" t="e">
        <f t="shared" si="25"/>
        <v>#DIV/0!</v>
      </c>
      <c r="CB25" s="25" t="e">
        <f t="shared" si="25"/>
        <v>#DIV/0!</v>
      </c>
      <c r="CC25" s="41" t="e">
        <f t="shared" si="25"/>
        <v>#DIV/0!</v>
      </c>
      <c r="CD25" s="18" t="e">
        <f t="shared" si="25"/>
        <v>#DIV/0!</v>
      </c>
      <c r="CE25" s="25" t="e">
        <f t="shared" si="25"/>
        <v>#DIV/0!</v>
      </c>
      <c r="CF25" s="41" t="e">
        <f t="shared" si="25"/>
        <v>#DIV/0!</v>
      </c>
      <c r="CG25" s="18">
        <f t="shared" si="25"/>
        <v>0.12803812549642574</v>
      </c>
      <c r="CH25" s="25">
        <f t="shared" si="25"/>
        <v>-1.0164013605723264E-16</v>
      </c>
      <c r="CI25" s="60">
        <f t="shared" si="25"/>
        <v>0.12661011624253854</v>
      </c>
    </row>
    <row r="26" spans="1:87" ht="12.75">
      <c r="A26" s="7"/>
      <c r="B26" s="98"/>
      <c r="C26" s="18"/>
      <c r="D26" s="98"/>
      <c r="E26" s="18"/>
      <c r="F26" s="98"/>
      <c r="G26" s="18"/>
      <c r="H26" s="98"/>
      <c r="I26" s="18"/>
      <c r="J26" s="25"/>
      <c r="K26" s="41"/>
      <c r="L26" s="18"/>
      <c r="M26" s="25"/>
      <c r="N26" s="41"/>
      <c r="O26" s="18"/>
      <c r="P26" s="25"/>
      <c r="Q26" s="41"/>
      <c r="R26" s="18"/>
      <c r="S26" s="25"/>
      <c r="T26" s="41"/>
      <c r="U26" s="18"/>
      <c r="V26" s="25"/>
      <c r="W26" s="60"/>
      <c r="X26" s="98"/>
      <c r="Y26" s="18"/>
      <c r="Z26" s="25"/>
      <c r="AA26" s="41"/>
      <c r="AB26" s="18"/>
      <c r="AC26" s="25"/>
      <c r="AD26" s="41"/>
      <c r="AE26" s="18"/>
      <c r="AF26" s="25"/>
      <c r="AG26" s="41"/>
      <c r="AH26" s="18"/>
      <c r="AI26" s="25"/>
      <c r="AJ26" s="41"/>
      <c r="AK26" s="18"/>
      <c r="AL26" s="25"/>
      <c r="AM26" s="60"/>
      <c r="AN26" s="98"/>
      <c r="AO26" s="18"/>
      <c r="AP26" s="25"/>
      <c r="AQ26" s="41"/>
      <c r="AR26" s="18"/>
      <c r="AS26" s="25"/>
      <c r="AT26" s="41"/>
      <c r="AU26" s="18"/>
      <c r="AV26" s="25"/>
      <c r="AW26" s="41"/>
      <c r="AX26" s="18"/>
      <c r="AY26" s="25"/>
      <c r="AZ26" s="41"/>
      <c r="BA26" s="18"/>
      <c r="BB26" s="25"/>
      <c r="BC26" s="60"/>
      <c r="BD26" s="98"/>
      <c r="BE26" s="18"/>
      <c r="BF26" s="25"/>
      <c r="BG26" s="41"/>
      <c r="BH26" s="18"/>
      <c r="BI26" s="25"/>
      <c r="BJ26" s="41"/>
      <c r="BK26" s="18"/>
      <c r="BL26" s="25"/>
      <c r="BM26" s="41"/>
      <c r="BN26" s="18"/>
      <c r="BO26" s="25"/>
      <c r="BP26" s="41"/>
      <c r="BQ26" s="18"/>
      <c r="BR26" s="25"/>
      <c r="BS26" s="60"/>
      <c r="BT26" s="98"/>
      <c r="BU26" s="18"/>
      <c r="BV26" s="25"/>
      <c r="BW26" s="41"/>
      <c r="BX26" s="18"/>
      <c r="BY26" s="25"/>
      <c r="BZ26" s="41"/>
      <c r="CA26" s="18"/>
      <c r="CB26" s="25"/>
      <c r="CC26" s="41"/>
      <c r="CD26" s="18"/>
      <c r="CE26" s="25"/>
      <c r="CF26" s="41"/>
      <c r="CG26" s="18"/>
      <c r="CH26" s="25"/>
      <c r="CI26" s="60"/>
    </row>
    <row r="27" spans="1:87" s="68" customFormat="1" ht="12.75">
      <c r="A27" s="76" t="s">
        <v>48</v>
      </c>
      <c r="B27" s="99"/>
      <c r="C27" s="70">
        <f>E27-D27</f>
        <v>0</v>
      </c>
      <c r="D27" s="99"/>
      <c r="E27" s="70">
        <f>G27-F27</f>
        <v>0</v>
      </c>
      <c r="F27" s="99"/>
      <c r="G27" s="70">
        <f>I27-H27</f>
        <v>0</v>
      </c>
      <c r="H27" s="99"/>
      <c r="I27" s="70">
        <f>K27-J27</f>
        <v>0</v>
      </c>
      <c r="J27" s="77"/>
      <c r="K27" s="78">
        <v>0</v>
      </c>
      <c r="L27" s="70">
        <f>N27-M27</f>
        <v>0</v>
      </c>
      <c r="M27" s="77"/>
      <c r="N27" s="78">
        <v>0</v>
      </c>
      <c r="O27" s="70">
        <f>Q27-P27</f>
        <v>0</v>
      </c>
      <c r="P27" s="77"/>
      <c r="Q27" s="78">
        <v>0</v>
      </c>
      <c r="R27" s="70">
        <f>T27-S27</f>
        <v>0</v>
      </c>
      <c r="S27" s="77"/>
      <c r="T27" s="78">
        <v>0</v>
      </c>
      <c r="U27" s="70">
        <f>W27-V27</f>
        <v>0</v>
      </c>
      <c r="V27" s="73">
        <f aca="true" t="shared" si="26" ref="V27:W29">J27+M27+P27+S27</f>
        <v>0</v>
      </c>
      <c r="W27" s="74">
        <f t="shared" si="26"/>
        <v>0</v>
      </c>
      <c r="X27" s="99"/>
      <c r="Y27" s="70">
        <f>AA27-Z27</f>
        <v>0</v>
      </c>
      <c r="Z27" s="77"/>
      <c r="AA27" s="78">
        <v>0</v>
      </c>
      <c r="AB27" s="70">
        <f>AD27-AC27</f>
        <v>0</v>
      </c>
      <c r="AC27" s="77"/>
      <c r="AD27" s="78">
        <v>0</v>
      </c>
      <c r="AE27" s="70">
        <f>AG27-AF27</f>
        <v>0</v>
      </c>
      <c r="AF27" s="77"/>
      <c r="AG27" s="78">
        <v>0</v>
      </c>
      <c r="AH27" s="70">
        <f>AJ27-AI27</f>
        <v>0</v>
      </c>
      <c r="AI27" s="77"/>
      <c r="AJ27" s="78">
        <v>0</v>
      </c>
      <c r="AK27" s="70">
        <f>AM27-AL27</f>
        <v>0</v>
      </c>
      <c r="AL27" s="73">
        <f aca="true" t="shared" si="27" ref="AL27:AM29">Z27+AC27+AF27+AI27</f>
        <v>0</v>
      </c>
      <c r="AM27" s="74">
        <f t="shared" si="27"/>
        <v>0</v>
      </c>
      <c r="AN27" s="99"/>
      <c r="AO27" s="70">
        <f>AQ27-AP27</f>
        <v>0</v>
      </c>
      <c r="AP27" s="77"/>
      <c r="AQ27" s="78">
        <v>0</v>
      </c>
      <c r="AR27" s="70">
        <f>AT27-AS27</f>
        <v>0</v>
      </c>
      <c r="AS27" s="77"/>
      <c r="AT27" s="78">
        <v>0</v>
      </c>
      <c r="AU27" s="70">
        <f>AW27-AV27</f>
        <v>0</v>
      </c>
      <c r="AV27" s="77"/>
      <c r="AW27" s="78">
        <v>0</v>
      </c>
      <c r="AX27" s="70">
        <f>AZ27-AY27</f>
        <v>383.4</v>
      </c>
      <c r="AY27" s="77"/>
      <c r="AZ27" s="78">
        <v>383.4</v>
      </c>
      <c r="BA27" s="70">
        <f>BC27-BB27</f>
        <v>383.4</v>
      </c>
      <c r="BB27" s="73">
        <f aca="true" t="shared" si="28" ref="BB27:BC29">AP27+AS27+AV27+AY27</f>
        <v>0</v>
      </c>
      <c r="BC27" s="74">
        <f t="shared" si="28"/>
        <v>383.4</v>
      </c>
      <c r="BD27" s="99"/>
      <c r="BE27" s="70">
        <f>BG27-BF27</f>
        <v>0</v>
      </c>
      <c r="BF27" s="77"/>
      <c r="BG27" s="78">
        <v>0</v>
      </c>
      <c r="BH27" s="70">
        <f>BJ27-BI27</f>
        <v>0</v>
      </c>
      <c r="BI27" s="77"/>
      <c r="BJ27" s="78">
        <v>0</v>
      </c>
      <c r="BK27" s="70">
        <f>BM27-BL27</f>
        <v>-27.1</v>
      </c>
      <c r="BL27" s="77"/>
      <c r="BM27" s="78">
        <v>-27.1</v>
      </c>
      <c r="BN27" s="70">
        <f>BP27-BO27</f>
        <v>-15</v>
      </c>
      <c r="BO27" s="77"/>
      <c r="BP27" s="78">
        <v>-15</v>
      </c>
      <c r="BQ27" s="70">
        <f>BS27-BR27</f>
        <v>-42.1</v>
      </c>
      <c r="BR27" s="73">
        <f aca="true" t="shared" si="29" ref="BR27:BS29">BF27+BI27+BL27+BO27</f>
        <v>0</v>
      </c>
      <c r="BS27" s="74">
        <f t="shared" si="29"/>
        <v>-42.1</v>
      </c>
      <c r="BT27" s="99"/>
      <c r="BU27" s="70">
        <f>BW27-BV27</f>
        <v>0</v>
      </c>
      <c r="BV27" s="77"/>
      <c r="BW27" s="78"/>
      <c r="BX27" s="70">
        <f>BZ27-BY27</f>
        <v>0</v>
      </c>
      <c r="BY27" s="77"/>
      <c r="BZ27" s="78"/>
      <c r="CA27" s="70">
        <f>CC27-CB27</f>
        <v>0</v>
      </c>
      <c r="CB27" s="77"/>
      <c r="CC27" s="78"/>
      <c r="CD27" s="70">
        <f>CF27-CE27</f>
        <v>0</v>
      </c>
      <c r="CE27" s="77"/>
      <c r="CF27" s="78"/>
      <c r="CG27" s="70">
        <f>CI27-CH27</f>
        <v>0</v>
      </c>
      <c r="CH27" s="73">
        <f aca="true" t="shared" si="30" ref="CH27:CI29">BV27+BY27+CB27+CE27</f>
        <v>0</v>
      </c>
      <c r="CI27" s="74">
        <f t="shared" si="30"/>
        <v>0</v>
      </c>
    </row>
    <row r="28" spans="1:87" s="85" customFormat="1" ht="12.75">
      <c r="A28" s="76" t="s">
        <v>49</v>
      </c>
      <c r="B28" s="99"/>
      <c r="C28" s="70">
        <f>E28-D28</f>
        <v>0</v>
      </c>
      <c r="D28" s="99"/>
      <c r="E28" s="70">
        <f>G28-F28</f>
        <v>0</v>
      </c>
      <c r="F28" s="99"/>
      <c r="G28" s="70">
        <f>I28-H28</f>
        <v>0</v>
      </c>
      <c r="H28" s="99"/>
      <c r="I28" s="70">
        <f>K28-J28</f>
        <v>0</v>
      </c>
      <c r="J28" s="77"/>
      <c r="K28" s="78">
        <v>0</v>
      </c>
      <c r="L28" s="70">
        <f>N28-M28</f>
        <v>0</v>
      </c>
      <c r="M28" s="77"/>
      <c r="N28" s="78">
        <v>0</v>
      </c>
      <c r="O28" s="70">
        <f>Q28-P28</f>
        <v>0</v>
      </c>
      <c r="P28" s="77"/>
      <c r="Q28" s="78">
        <v>0</v>
      </c>
      <c r="R28" s="70">
        <f>T28-S28</f>
        <v>0</v>
      </c>
      <c r="S28" s="77"/>
      <c r="T28" s="78">
        <v>0</v>
      </c>
      <c r="U28" s="70">
        <f>W28-V28</f>
        <v>0</v>
      </c>
      <c r="V28" s="73">
        <f t="shared" si="26"/>
        <v>0</v>
      </c>
      <c r="W28" s="74">
        <f t="shared" si="26"/>
        <v>0</v>
      </c>
      <c r="X28" s="99"/>
      <c r="Y28" s="70">
        <f>AA28-Z28</f>
        <v>0</v>
      </c>
      <c r="Z28" s="77"/>
      <c r="AA28" s="78">
        <v>0</v>
      </c>
      <c r="AB28" s="70">
        <f>AD28-AC28</f>
        <v>0</v>
      </c>
      <c r="AC28" s="77"/>
      <c r="AD28" s="78">
        <v>0</v>
      </c>
      <c r="AE28" s="70">
        <f>AG28-AF28</f>
        <v>0</v>
      </c>
      <c r="AF28" s="77"/>
      <c r="AG28" s="78">
        <v>0</v>
      </c>
      <c r="AH28" s="70">
        <f>AJ28-AI28</f>
        <v>0</v>
      </c>
      <c r="AI28" s="77"/>
      <c r="AJ28" s="78">
        <v>0</v>
      </c>
      <c r="AK28" s="70">
        <f>AM28-AL28</f>
        <v>0</v>
      </c>
      <c r="AL28" s="73">
        <f t="shared" si="27"/>
        <v>0</v>
      </c>
      <c r="AM28" s="74">
        <f t="shared" si="27"/>
        <v>0</v>
      </c>
      <c r="AN28" s="99"/>
      <c r="AO28" s="70">
        <f>AQ28-AP28</f>
        <v>0</v>
      </c>
      <c r="AP28" s="77"/>
      <c r="AQ28" s="78">
        <v>0</v>
      </c>
      <c r="AR28" s="70">
        <f>AT28-AS28</f>
        <v>0</v>
      </c>
      <c r="AS28" s="77"/>
      <c r="AT28" s="78">
        <v>0</v>
      </c>
      <c r="AU28" s="70">
        <f>AW28-AV28</f>
        <v>0</v>
      </c>
      <c r="AV28" s="77"/>
      <c r="AW28" s="78">
        <v>0</v>
      </c>
      <c r="AX28" s="70">
        <f>AZ28-AY28</f>
        <v>0</v>
      </c>
      <c r="AY28" s="77"/>
      <c r="AZ28" s="78">
        <v>0</v>
      </c>
      <c r="BA28" s="70">
        <f>BC28-BB28</f>
        <v>0</v>
      </c>
      <c r="BB28" s="73">
        <f t="shared" si="28"/>
        <v>0</v>
      </c>
      <c r="BC28" s="74">
        <f t="shared" si="28"/>
        <v>0</v>
      </c>
      <c r="BD28" s="99"/>
      <c r="BE28" s="70">
        <f>BG28-BF28</f>
        <v>0</v>
      </c>
      <c r="BF28" s="77"/>
      <c r="BG28" s="78">
        <v>0</v>
      </c>
      <c r="BH28" s="70">
        <f>BJ28-BI28</f>
        <v>0</v>
      </c>
      <c r="BI28" s="77"/>
      <c r="BJ28" s="78">
        <v>0</v>
      </c>
      <c r="BK28" s="70">
        <f>BM28-BL28</f>
        <v>0</v>
      </c>
      <c r="BL28" s="77">
        <v>54.2</v>
      </c>
      <c r="BM28" s="78">
        <v>54.2</v>
      </c>
      <c r="BN28" s="70">
        <f>BP28-BO28</f>
        <v>0</v>
      </c>
      <c r="BO28" s="77"/>
      <c r="BP28" s="78"/>
      <c r="BQ28" s="70">
        <f>BS28-BR28</f>
        <v>0</v>
      </c>
      <c r="BR28" s="73">
        <f t="shared" si="29"/>
        <v>54.2</v>
      </c>
      <c r="BS28" s="74">
        <f t="shared" si="29"/>
        <v>54.2</v>
      </c>
      <c r="BT28" s="99"/>
      <c r="BU28" s="70">
        <f>BW28-BV28</f>
        <v>0</v>
      </c>
      <c r="BV28" s="77"/>
      <c r="BW28" s="78"/>
      <c r="BX28" s="70">
        <f>BZ28-BY28</f>
        <v>0</v>
      </c>
      <c r="BY28" s="77"/>
      <c r="BZ28" s="78"/>
      <c r="CA28" s="70">
        <f>CC28-CB28</f>
        <v>0</v>
      </c>
      <c r="CB28" s="77"/>
      <c r="CC28" s="78"/>
      <c r="CD28" s="70">
        <f>CF28-CE28</f>
        <v>0</v>
      </c>
      <c r="CE28" s="77"/>
      <c r="CF28" s="78"/>
      <c r="CG28" s="70">
        <f>CI28-CH28</f>
        <v>0</v>
      </c>
      <c r="CH28" s="73">
        <f t="shared" si="30"/>
        <v>0</v>
      </c>
      <c r="CI28" s="74">
        <f t="shared" si="30"/>
        <v>0</v>
      </c>
    </row>
    <row r="29" spans="1:87" s="68" customFormat="1" ht="12.75">
      <c r="A29" s="76" t="s">
        <v>7</v>
      </c>
      <c r="B29" s="99"/>
      <c r="C29" s="70">
        <v>17.4</v>
      </c>
      <c r="D29" s="99"/>
      <c r="E29" s="70">
        <v>45.5</v>
      </c>
      <c r="F29" s="99"/>
      <c r="G29" s="70">
        <v>63.1</v>
      </c>
      <c r="H29" s="99"/>
      <c r="I29" s="70">
        <f>K29-J29</f>
        <v>17</v>
      </c>
      <c r="J29" s="77">
        <v>-0.2</v>
      </c>
      <c r="K29" s="78">
        <v>16.8</v>
      </c>
      <c r="L29" s="70">
        <f>N29-M29</f>
        <v>19.400000000000002</v>
      </c>
      <c r="M29" s="77">
        <v>0.4</v>
      </c>
      <c r="N29" s="78">
        <v>19.8</v>
      </c>
      <c r="O29" s="70">
        <f>Q29-P29</f>
        <v>22.400000000000002</v>
      </c>
      <c r="P29" s="77">
        <v>0.4</v>
      </c>
      <c r="Q29" s="78">
        <v>22.8</v>
      </c>
      <c r="R29" s="70">
        <f>T29-S29</f>
        <v>21.700000000000003</v>
      </c>
      <c r="S29" s="77">
        <v>0.4</v>
      </c>
      <c r="T29" s="78">
        <v>22.1</v>
      </c>
      <c r="U29" s="70">
        <f>W29-V29</f>
        <v>80.5</v>
      </c>
      <c r="V29" s="73">
        <f t="shared" si="26"/>
        <v>1</v>
      </c>
      <c r="W29" s="74">
        <f t="shared" si="26"/>
        <v>81.5</v>
      </c>
      <c r="X29" s="99"/>
      <c r="Y29" s="70">
        <f>AA29-Z29</f>
        <v>24.599999999999998</v>
      </c>
      <c r="Z29" s="77">
        <v>-0.2</v>
      </c>
      <c r="AA29" s="78">
        <v>24.4</v>
      </c>
      <c r="AB29" s="70">
        <f>AD29-AC29</f>
        <v>38.9</v>
      </c>
      <c r="AC29" s="77">
        <v>1.5</v>
      </c>
      <c r="AD29" s="78">
        <v>40.4</v>
      </c>
      <c r="AE29" s="70">
        <f>AG29-AF29</f>
        <v>39.5</v>
      </c>
      <c r="AF29" s="77">
        <v>1.6</v>
      </c>
      <c r="AG29" s="78">
        <v>41.1</v>
      </c>
      <c r="AH29" s="70">
        <f>AJ29-AI29</f>
        <v>17</v>
      </c>
      <c r="AI29" s="77">
        <v>-0.2</v>
      </c>
      <c r="AJ29" s="78">
        <v>16.8</v>
      </c>
      <c r="AK29" s="70">
        <f>AM29-AL29</f>
        <v>120</v>
      </c>
      <c r="AL29" s="73">
        <f t="shared" si="27"/>
        <v>2.7</v>
      </c>
      <c r="AM29" s="74">
        <f t="shared" si="27"/>
        <v>122.7</v>
      </c>
      <c r="AN29" s="99"/>
      <c r="AO29" s="70">
        <f>AQ29-AP29</f>
        <v>31</v>
      </c>
      <c r="AP29" s="77">
        <v>-2.6</v>
      </c>
      <c r="AQ29" s="78">
        <v>28.4</v>
      </c>
      <c r="AR29" s="70">
        <f>AT29-AS29</f>
        <v>35.3</v>
      </c>
      <c r="AS29" s="77">
        <v>1.6</v>
      </c>
      <c r="AT29" s="78">
        <v>36.9</v>
      </c>
      <c r="AU29" s="70">
        <f>AW29-AV29</f>
        <v>47.5</v>
      </c>
      <c r="AV29" s="77">
        <v>1.3</v>
      </c>
      <c r="AW29" s="78">
        <v>48.8</v>
      </c>
      <c r="AX29" s="70">
        <f>AZ29-AY29</f>
        <v>-80.80000000000001</v>
      </c>
      <c r="AY29" s="77">
        <v>-0.3</v>
      </c>
      <c r="AZ29" s="78">
        <f>-121+37.1+2.8</f>
        <v>-81.10000000000001</v>
      </c>
      <c r="BA29" s="70">
        <f>BC29-BB29</f>
        <v>32.999999999999986</v>
      </c>
      <c r="BB29" s="73">
        <f t="shared" si="28"/>
        <v>0</v>
      </c>
      <c r="BC29" s="74">
        <f t="shared" si="28"/>
        <v>32.999999999999986</v>
      </c>
      <c r="BD29" s="99"/>
      <c r="BE29" s="70">
        <f>BG29-BF29</f>
        <v>33.6</v>
      </c>
      <c r="BF29" s="77">
        <v>-3.3</v>
      </c>
      <c r="BG29" s="78">
        <v>30.3</v>
      </c>
      <c r="BH29" s="70">
        <f>BJ29-BI29</f>
        <v>44.4</v>
      </c>
      <c r="BI29" s="77">
        <v>-3.4</v>
      </c>
      <c r="BJ29" s="78">
        <v>41</v>
      </c>
      <c r="BK29" s="70">
        <f>BM29-BL29</f>
        <v>59.7</v>
      </c>
      <c r="BL29" s="77">
        <v>-30.1</v>
      </c>
      <c r="BM29" s="78">
        <v>29.6</v>
      </c>
      <c r="BN29" s="70">
        <f>BP29-BO29</f>
        <v>-66.9</v>
      </c>
      <c r="BO29" s="77"/>
      <c r="BP29" s="78">
        <v>-66.9</v>
      </c>
      <c r="BQ29" s="70">
        <f>BS29-BR29</f>
        <v>70.8</v>
      </c>
      <c r="BR29" s="73">
        <f t="shared" si="29"/>
        <v>-36.8</v>
      </c>
      <c r="BS29" s="74">
        <f t="shared" si="29"/>
        <v>34</v>
      </c>
      <c r="BT29" s="99"/>
      <c r="BU29" s="70">
        <f>BW29-BV29</f>
        <v>25</v>
      </c>
      <c r="BV29" s="77"/>
      <c r="BW29" s="78">
        <v>25</v>
      </c>
      <c r="BX29" s="70">
        <f>BZ29-BY29</f>
        <v>0</v>
      </c>
      <c r="BY29" s="77"/>
      <c r="BZ29" s="78"/>
      <c r="CA29" s="70">
        <f>CC29-CB29</f>
        <v>0</v>
      </c>
      <c r="CB29" s="77"/>
      <c r="CC29" s="78"/>
      <c r="CD29" s="70">
        <f>CF29-CE29</f>
        <v>0</v>
      </c>
      <c r="CE29" s="77"/>
      <c r="CF29" s="78"/>
      <c r="CG29" s="70">
        <f>CI29-CH29</f>
        <v>25</v>
      </c>
      <c r="CH29" s="73">
        <f t="shared" si="30"/>
        <v>0</v>
      </c>
      <c r="CI29" s="74">
        <f t="shared" si="30"/>
        <v>25</v>
      </c>
    </row>
    <row r="30" spans="1:87" ht="12.75">
      <c r="A30" s="7" t="s">
        <v>2</v>
      </c>
      <c r="B30" s="98"/>
      <c r="C30" s="88">
        <f>C29/(C24-C27-C28)</f>
        <v>0.2172284644194756</v>
      </c>
      <c r="D30" s="98"/>
      <c r="E30" s="18">
        <f>E29/(E24-E27-E28)</f>
        <v>0.3049597855227882</v>
      </c>
      <c r="F30" s="98"/>
      <c r="G30" s="18">
        <f>G29/(G24-G27-G28)</f>
        <v>0.31868686868686885</v>
      </c>
      <c r="H30" s="98"/>
      <c r="I30" s="88">
        <f aca="true" t="shared" si="31" ref="I30:W30">I29/(I24-I27-I28)</f>
        <v>0.34000000000000025</v>
      </c>
      <c r="J30" s="25">
        <f t="shared" si="31"/>
        <v>0.33333333333333276</v>
      </c>
      <c r="K30" s="41">
        <f t="shared" si="31"/>
        <v>0.3400809716599192</v>
      </c>
      <c r="L30" s="88">
        <f t="shared" si="31"/>
        <v>0.30265210608424337</v>
      </c>
      <c r="M30" s="25">
        <f t="shared" si="31"/>
        <v>0.39999999999999886</v>
      </c>
      <c r="N30" s="41">
        <f t="shared" si="31"/>
        <v>0.3041474654377879</v>
      </c>
      <c r="O30" s="88">
        <f t="shared" si="31"/>
        <v>0.3150492264416316</v>
      </c>
      <c r="P30" s="25">
        <f t="shared" si="31"/>
        <v>0.3636363636363646</v>
      </c>
      <c r="Q30" s="41">
        <f t="shared" si="31"/>
        <v>0.31578947368421056</v>
      </c>
      <c r="R30" s="88">
        <f t="shared" si="31"/>
        <v>0.3263157894736842</v>
      </c>
      <c r="S30" s="25">
        <f t="shared" si="31"/>
        <v>0.44444444444444375</v>
      </c>
      <c r="T30" s="41">
        <f t="shared" si="31"/>
        <v>0.3278931750741841</v>
      </c>
      <c r="U30" s="88">
        <f t="shared" si="31"/>
        <v>0.3198251887167263</v>
      </c>
      <c r="V30" s="25">
        <f t="shared" si="31"/>
        <v>0.4166666666666706</v>
      </c>
      <c r="W30" s="41">
        <f t="shared" si="31"/>
        <v>0.32073986619441164</v>
      </c>
      <c r="X30" s="98"/>
      <c r="Y30" s="18">
        <f aca="true" t="shared" si="32" ref="Y30:BS30">Y29/(Y24-Y27-Y28)</f>
        <v>0.3337856173677069</v>
      </c>
      <c r="Z30" s="25">
        <f t="shared" si="32"/>
        <v>0.3999999999999977</v>
      </c>
      <c r="AA30" s="41">
        <f t="shared" si="32"/>
        <v>0.3333333333333333</v>
      </c>
      <c r="AB30" s="88">
        <f t="shared" si="32"/>
        <v>0.3365051903114189</v>
      </c>
      <c r="AC30" s="25">
        <f t="shared" si="32"/>
        <v>0.39473684210526283</v>
      </c>
      <c r="AD30" s="41">
        <f t="shared" si="32"/>
        <v>0.33835845896147415</v>
      </c>
      <c r="AE30" s="88">
        <f t="shared" si="32"/>
        <v>0.3378956372968351</v>
      </c>
      <c r="AF30" s="25">
        <f t="shared" si="32"/>
        <v>0.3902439024390241</v>
      </c>
      <c r="AG30" s="41">
        <f t="shared" si="32"/>
        <v>0.3396694214876035</v>
      </c>
      <c r="AH30" s="88">
        <f t="shared" si="32"/>
        <v>0.18318965517241387</v>
      </c>
      <c r="AI30" s="25">
        <f t="shared" si="32"/>
        <v>0.5000000000000019</v>
      </c>
      <c r="AJ30" s="41">
        <f t="shared" si="32"/>
        <v>0.18181818181818185</v>
      </c>
      <c r="AK30" s="88">
        <f t="shared" si="32"/>
        <v>0.3007518796992481</v>
      </c>
      <c r="AL30" s="25">
        <f t="shared" si="32"/>
        <v>0.3857142857142867</v>
      </c>
      <c r="AM30" s="41">
        <f t="shared" si="32"/>
        <v>0.3022167487684728</v>
      </c>
      <c r="AN30" s="98"/>
      <c r="AO30" s="88">
        <f t="shared" si="32"/>
        <v>0.33369214208826703</v>
      </c>
      <c r="AP30" s="25">
        <f t="shared" si="32"/>
        <v>0.388059701492537</v>
      </c>
      <c r="AQ30" s="41">
        <f t="shared" si="32"/>
        <v>0.3294663573085849</v>
      </c>
      <c r="AR30" s="88">
        <f t="shared" si="32"/>
        <v>0.32745825602968465</v>
      </c>
      <c r="AS30" s="25">
        <f t="shared" si="32"/>
        <v>0.3902439024390252</v>
      </c>
      <c r="AT30" s="41">
        <f t="shared" si="32"/>
        <v>0.3297587131367292</v>
      </c>
      <c r="AU30" s="88">
        <f t="shared" si="32"/>
        <v>0.32849239280774534</v>
      </c>
      <c r="AV30" s="25">
        <f t="shared" si="32"/>
        <v>0.4062499999999997</v>
      </c>
      <c r="AW30" s="41">
        <f t="shared" si="32"/>
        <v>0.33017591339648167</v>
      </c>
      <c r="AX30" s="88">
        <f t="shared" si="32"/>
        <v>0.3422278695468022</v>
      </c>
      <c r="AY30" s="25">
        <f t="shared" si="32"/>
        <v>0.4285714285714233</v>
      </c>
      <c r="AZ30" s="41">
        <f t="shared" si="32"/>
        <v>0.3424831081081081</v>
      </c>
      <c r="BA30" s="88">
        <f t="shared" si="32"/>
        <v>0.3021978021978016</v>
      </c>
      <c r="BB30" s="25">
        <f t="shared" si="32"/>
        <v>0</v>
      </c>
      <c r="BC30" s="41">
        <f t="shared" si="32"/>
        <v>0.3024747937671859</v>
      </c>
      <c r="BD30" s="98"/>
      <c r="BE30" s="88">
        <f t="shared" si="32"/>
        <v>0.31638418079096087</v>
      </c>
      <c r="BF30" s="25">
        <f t="shared" si="32"/>
        <v>0.39285714285714324</v>
      </c>
      <c r="BG30" s="41">
        <f t="shared" si="32"/>
        <v>0.3098159509202456</v>
      </c>
      <c r="BH30" s="88">
        <f t="shared" si="32"/>
        <v>0.3151171043293115</v>
      </c>
      <c r="BI30" s="25">
        <f t="shared" si="32"/>
        <v>0.39534883720930225</v>
      </c>
      <c r="BJ30" s="41">
        <f t="shared" si="32"/>
        <v>0.30990173847316704</v>
      </c>
      <c r="BK30" s="88">
        <f t="shared" si="32"/>
        <v>0.3499413833528723</v>
      </c>
      <c r="BL30" s="25">
        <f t="shared" si="32"/>
        <v>0.40026595744680854</v>
      </c>
      <c r="BM30" s="41">
        <f t="shared" si="32"/>
        <v>0.31027253668763116</v>
      </c>
      <c r="BN30" s="88">
        <f t="shared" si="32"/>
        <v>0.24318429661941118</v>
      </c>
      <c r="BO30" s="25">
        <f t="shared" si="32"/>
        <v>0</v>
      </c>
      <c r="BP30" s="41">
        <f t="shared" si="32"/>
        <v>0.2431842966194112</v>
      </c>
      <c r="BQ30" s="18">
        <f t="shared" si="32"/>
        <v>0.49649368863955157</v>
      </c>
      <c r="BR30" s="25">
        <f t="shared" si="32"/>
        <v>0.3991323210412147</v>
      </c>
      <c r="BS30" s="60">
        <f t="shared" si="32"/>
        <v>0.6746031746031735</v>
      </c>
      <c r="BT30" s="98"/>
      <c r="BU30" s="88">
        <f aca="true" t="shared" si="33" ref="BU30:CI30">BU29/(BU24-BU27-BU28)</f>
        <v>0.3101736972704715</v>
      </c>
      <c r="BV30" s="25">
        <f t="shared" si="33"/>
        <v>0</v>
      </c>
      <c r="BW30" s="41">
        <f t="shared" si="33"/>
        <v>0.31017369727047134</v>
      </c>
      <c r="BX30" s="88" t="e">
        <f t="shared" si="33"/>
        <v>#DIV/0!</v>
      </c>
      <c r="BY30" s="25" t="e">
        <f t="shared" si="33"/>
        <v>#DIV/0!</v>
      </c>
      <c r="BZ30" s="41" t="e">
        <f t="shared" si="33"/>
        <v>#DIV/0!</v>
      </c>
      <c r="CA30" s="88" t="e">
        <f t="shared" si="33"/>
        <v>#DIV/0!</v>
      </c>
      <c r="CB30" s="25" t="e">
        <f t="shared" si="33"/>
        <v>#DIV/0!</v>
      </c>
      <c r="CC30" s="41" t="e">
        <f t="shared" si="33"/>
        <v>#DIV/0!</v>
      </c>
      <c r="CD30" s="88" t="e">
        <f t="shared" si="33"/>
        <v>#DIV/0!</v>
      </c>
      <c r="CE30" s="25" t="e">
        <f t="shared" si="33"/>
        <v>#DIV/0!</v>
      </c>
      <c r="CF30" s="41" t="e">
        <f t="shared" si="33"/>
        <v>#DIV/0!</v>
      </c>
      <c r="CG30" s="18">
        <f t="shared" si="33"/>
        <v>0.3101736972704715</v>
      </c>
      <c r="CH30" s="25">
        <f t="shared" si="33"/>
        <v>0</v>
      </c>
      <c r="CI30" s="60">
        <f t="shared" si="33"/>
        <v>0.31017369727047134</v>
      </c>
    </row>
    <row r="31" spans="1:87" s="4" customFormat="1" ht="11.25">
      <c r="A31" s="48"/>
      <c r="B31" s="100"/>
      <c r="C31" s="19"/>
      <c r="D31" s="100"/>
      <c r="E31" s="19"/>
      <c r="F31" s="100"/>
      <c r="G31" s="19"/>
      <c r="H31" s="100"/>
      <c r="I31" s="19"/>
      <c r="J31" s="26"/>
      <c r="K31" s="42"/>
      <c r="L31" s="19"/>
      <c r="M31" s="26"/>
      <c r="N31" s="42"/>
      <c r="O31" s="19"/>
      <c r="P31" s="26"/>
      <c r="Q31" s="42"/>
      <c r="R31" s="19"/>
      <c r="S31" s="26"/>
      <c r="T31" s="42"/>
      <c r="U31" s="19"/>
      <c r="V31" s="26"/>
      <c r="W31" s="61"/>
      <c r="X31" s="100"/>
      <c r="Y31" s="19"/>
      <c r="Z31" s="26"/>
      <c r="AA31" s="42"/>
      <c r="AB31" s="19"/>
      <c r="AC31" s="26"/>
      <c r="AD31" s="42"/>
      <c r="AE31" s="19"/>
      <c r="AF31" s="26"/>
      <c r="AG31" s="42"/>
      <c r="AH31" s="19"/>
      <c r="AI31" s="26"/>
      <c r="AJ31" s="42"/>
      <c r="AK31" s="19"/>
      <c r="AL31" s="26"/>
      <c r="AM31" s="61"/>
      <c r="AN31" s="100"/>
      <c r="AO31" s="19"/>
      <c r="AP31" s="26"/>
      <c r="AQ31" s="42"/>
      <c r="AR31" s="19"/>
      <c r="AS31" s="26"/>
      <c r="AT31" s="42"/>
      <c r="AU31" s="19"/>
      <c r="AV31" s="26"/>
      <c r="AW31" s="42"/>
      <c r="AX31" s="19"/>
      <c r="AY31" s="26"/>
      <c r="AZ31" s="42"/>
      <c r="BA31" s="19"/>
      <c r="BB31" s="26"/>
      <c r="BC31" s="61"/>
      <c r="BD31" s="100"/>
      <c r="BE31" s="19"/>
      <c r="BF31" s="26"/>
      <c r="BG31" s="42"/>
      <c r="BH31" s="19"/>
      <c r="BI31" s="26"/>
      <c r="BJ31" s="42"/>
      <c r="BK31" s="19"/>
      <c r="BL31" s="26"/>
      <c r="BM31" s="42"/>
      <c r="BN31" s="19"/>
      <c r="BO31" s="26"/>
      <c r="BP31" s="42"/>
      <c r="BQ31" s="19"/>
      <c r="BR31" s="26"/>
      <c r="BS31" s="61"/>
      <c r="BT31" s="100"/>
      <c r="BU31" s="19"/>
      <c r="BV31" s="26"/>
      <c r="BW31" s="42"/>
      <c r="BX31" s="19"/>
      <c r="BY31" s="26"/>
      <c r="BZ31" s="42"/>
      <c r="CA31" s="19"/>
      <c r="CB31" s="26"/>
      <c r="CC31" s="42"/>
      <c r="CD31" s="19"/>
      <c r="CE31" s="26"/>
      <c r="CF31" s="42"/>
      <c r="CG31" s="19"/>
      <c r="CH31" s="26"/>
      <c r="CI31" s="61"/>
    </row>
    <row r="32" spans="1:87" s="68" customFormat="1" ht="12.75">
      <c r="A32" s="65" t="s">
        <v>8</v>
      </c>
      <c r="B32" s="97"/>
      <c r="C32" s="66">
        <f>C24-C27-C28-C29</f>
        <v>62.70000000000001</v>
      </c>
      <c r="D32" s="97"/>
      <c r="E32" s="66">
        <f>E24-E27-E28-E29</f>
        <v>103.70000000000002</v>
      </c>
      <c r="F32" s="97"/>
      <c r="G32" s="66">
        <f>G24-G27-G28-G29</f>
        <v>134.89999999999992</v>
      </c>
      <c r="H32" s="97"/>
      <c r="I32" s="66">
        <f aca="true" t="shared" si="34" ref="I32:W32">I24-I27-I28-I29</f>
        <v>32.999999999999964</v>
      </c>
      <c r="J32" s="66">
        <f t="shared" si="34"/>
        <v>-0.4000000000000011</v>
      </c>
      <c r="K32" s="67">
        <f t="shared" si="34"/>
        <v>32.59999999999998</v>
      </c>
      <c r="L32" s="66">
        <f t="shared" si="34"/>
        <v>44.7</v>
      </c>
      <c r="M32" s="66">
        <f t="shared" si="34"/>
        <v>0.6000000000000029</v>
      </c>
      <c r="N32" s="67">
        <f t="shared" si="34"/>
        <v>45.300000000000026</v>
      </c>
      <c r="O32" s="66">
        <f t="shared" si="34"/>
        <v>48.69999999999999</v>
      </c>
      <c r="P32" s="66">
        <f t="shared" si="34"/>
        <v>0.6999999999999972</v>
      </c>
      <c r="Q32" s="67">
        <f t="shared" si="34"/>
        <v>49.39999999999999</v>
      </c>
      <c r="R32" s="66">
        <f t="shared" si="34"/>
        <v>44.8</v>
      </c>
      <c r="S32" s="66">
        <f t="shared" si="34"/>
        <v>0.5000000000000014</v>
      </c>
      <c r="T32" s="67">
        <f t="shared" si="34"/>
        <v>45.299999999999976</v>
      </c>
      <c r="U32" s="66">
        <f t="shared" si="34"/>
        <v>171.19999999999996</v>
      </c>
      <c r="V32" s="66">
        <f t="shared" si="34"/>
        <v>1.3999999999999773</v>
      </c>
      <c r="W32" s="67">
        <f t="shared" si="34"/>
        <v>172.60000000000002</v>
      </c>
      <c r="X32" s="97"/>
      <c r="Y32" s="66">
        <f aca="true" t="shared" si="35" ref="Y32:BS32">Y24-Y27-Y28-Y29</f>
        <v>49.10000000000001</v>
      </c>
      <c r="Z32" s="66">
        <f t="shared" si="35"/>
        <v>-0.3000000000000029</v>
      </c>
      <c r="AA32" s="67">
        <f t="shared" si="35"/>
        <v>48.800000000000004</v>
      </c>
      <c r="AB32" s="66">
        <f t="shared" si="35"/>
        <v>76.69999999999993</v>
      </c>
      <c r="AC32" s="66">
        <f t="shared" si="35"/>
        <v>2.300000000000003</v>
      </c>
      <c r="AD32" s="67">
        <f t="shared" si="35"/>
        <v>78.99999999999997</v>
      </c>
      <c r="AE32" s="66">
        <f t="shared" si="35"/>
        <v>77.39999999999993</v>
      </c>
      <c r="AF32" s="66">
        <f t="shared" si="35"/>
        <v>2.500000000000003</v>
      </c>
      <c r="AG32" s="67">
        <f t="shared" si="35"/>
        <v>79.89999999999995</v>
      </c>
      <c r="AH32" s="66">
        <f t="shared" si="35"/>
        <v>75.79999999999997</v>
      </c>
      <c r="AI32" s="66">
        <f t="shared" si="35"/>
        <v>-0.1999999999999985</v>
      </c>
      <c r="AJ32" s="67">
        <f t="shared" si="35"/>
        <v>75.6</v>
      </c>
      <c r="AK32" s="66">
        <f t="shared" si="35"/>
        <v>279.00000000000006</v>
      </c>
      <c r="AL32" s="66">
        <f t="shared" si="35"/>
        <v>4.299999999999983</v>
      </c>
      <c r="AM32" s="67">
        <f t="shared" si="35"/>
        <v>283.3000000000001</v>
      </c>
      <c r="AN32" s="97"/>
      <c r="AO32" s="66">
        <f t="shared" si="35"/>
        <v>61.89999999999998</v>
      </c>
      <c r="AP32" s="66">
        <f t="shared" si="35"/>
        <v>-4.100000000000005</v>
      </c>
      <c r="AQ32" s="67">
        <f t="shared" si="35"/>
        <v>57.79999999999993</v>
      </c>
      <c r="AR32" s="66">
        <f t="shared" si="35"/>
        <v>72.49999999999997</v>
      </c>
      <c r="AS32" s="66">
        <f t="shared" si="35"/>
        <v>2.4999999999999916</v>
      </c>
      <c r="AT32" s="67">
        <f t="shared" si="35"/>
        <v>75</v>
      </c>
      <c r="AU32" s="66">
        <f t="shared" si="35"/>
        <v>97.10000000000008</v>
      </c>
      <c r="AV32" s="66">
        <f t="shared" si="35"/>
        <v>1.9000000000000024</v>
      </c>
      <c r="AW32" s="67">
        <f t="shared" si="35"/>
        <v>99.00000000000001</v>
      </c>
      <c r="AX32" s="66">
        <f t="shared" si="35"/>
        <v>-155.30000000000004</v>
      </c>
      <c r="AY32" s="66">
        <f t="shared" si="35"/>
        <v>-0.4000000000000086</v>
      </c>
      <c r="AZ32" s="67">
        <f t="shared" si="35"/>
        <v>-155.7</v>
      </c>
      <c r="BA32" s="66">
        <f t="shared" si="35"/>
        <v>76.20000000000017</v>
      </c>
      <c r="BB32" s="66">
        <f t="shared" si="35"/>
        <v>-0.10000000000003695</v>
      </c>
      <c r="BC32" s="67">
        <f t="shared" si="35"/>
        <v>76.10000000000004</v>
      </c>
      <c r="BD32" s="97"/>
      <c r="BE32" s="66">
        <f t="shared" si="35"/>
        <v>72.59999999999985</v>
      </c>
      <c r="BF32" s="66">
        <f t="shared" si="35"/>
        <v>-5.099999999999992</v>
      </c>
      <c r="BG32" s="67">
        <f t="shared" si="35"/>
        <v>67.49999999999994</v>
      </c>
      <c r="BH32" s="66">
        <f t="shared" si="35"/>
        <v>96.50000000000003</v>
      </c>
      <c r="BI32" s="66">
        <f t="shared" si="35"/>
        <v>-5.200000000000001</v>
      </c>
      <c r="BJ32" s="67">
        <f t="shared" si="35"/>
        <v>91.30000000000001</v>
      </c>
      <c r="BK32" s="66">
        <f t="shared" si="35"/>
        <v>110.89999999999996</v>
      </c>
      <c r="BL32" s="66">
        <f t="shared" si="35"/>
        <v>-45.1</v>
      </c>
      <c r="BM32" s="67">
        <f t="shared" si="35"/>
        <v>65.79999999999995</v>
      </c>
      <c r="BN32" s="66">
        <f t="shared" si="35"/>
        <v>-208.19999999999996</v>
      </c>
      <c r="BO32" s="66">
        <f t="shared" si="35"/>
        <v>-2.7200464103316335E-15</v>
      </c>
      <c r="BP32" s="67">
        <f t="shared" si="35"/>
        <v>-208.1999999999999</v>
      </c>
      <c r="BQ32" s="66">
        <f t="shared" si="35"/>
        <v>71.79999999999988</v>
      </c>
      <c r="BR32" s="66">
        <f t="shared" si="35"/>
        <v>-55.400000000000006</v>
      </c>
      <c r="BS32" s="67">
        <f t="shared" si="35"/>
        <v>16.400000000000077</v>
      </c>
      <c r="BT32" s="97"/>
      <c r="BU32" s="66">
        <f aca="true" t="shared" si="36" ref="BU32:CI32">BU24-BU27-BU28-BU29</f>
        <v>55.599999999999994</v>
      </c>
      <c r="BV32" s="66">
        <f t="shared" si="36"/>
        <v>-7.216449660063518E-16</v>
      </c>
      <c r="BW32" s="67">
        <f t="shared" si="36"/>
        <v>55.60000000000004</v>
      </c>
      <c r="BX32" s="66">
        <f t="shared" si="36"/>
        <v>0</v>
      </c>
      <c r="BY32" s="66">
        <f t="shared" si="36"/>
        <v>0</v>
      </c>
      <c r="BZ32" s="67">
        <f t="shared" si="36"/>
        <v>0</v>
      </c>
      <c r="CA32" s="66">
        <f t="shared" si="36"/>
        <v>0</v>
      </c>
      <c r="CB32" s="66">
        <f t="shared" si="36"/>
        <v>0</v>
      </c>
      <c r="CC32" s="67">
        <f t="shared" si="36"/>
        <v>0</v>
      </c>
      <c r="CD32" s="66">
        <f t="shared" si="36"/>
        <v>0</v>
      </c>
      <c r="CE32" s="66">
        <f t="shared" si="36"/>
        <v>0</v>
      </c>
      <c r="CF32" s="67">
        <f t="shared" si="36"/>
        <v>0</v>
      </c>
      <c r="CG32" s="66">
        <f t="shared" si="36"/>
        <v>55.599999999999994</v>
      </c>
      <c r="CH32" s="66">
        <f t="shared" si="36"/>
        <v>-7.216449660063518E-16</v>
      </c>
      <c r="CI32" s="67">
        <f t="shared" si="36"/>
        <v>55.60000000000004</v>
      </c>
    </row>
    <row r="33" spans="1:87" ht="12.75">
      <c r="A33" s="7" t="s">
        <v>2</v>
      </c>
      <c r="B33" s="103"/>
      <c r="C33" s="21">
        <f>C32/C6</f>
        <v>0.13340425531914896</v>
      </c>
      <c r="D33" s="103"/>
      <c r="E33" s="21">
        <f>E32/E6</f>
        <v>0.14824874910650468</v>
      </c>
      <c r="F33" s="103"/>
      <c r="G33" s="21">
        <f>G32/G6</f>
        <v>0.13546896967262495</v>
      </c>
      <c r="H33" s="103"/>
      <c r="I33" s="21">
        <f aca="true" t="shared" si="37" ref="I33:W33">I32/I6</f>
        <v>0.12830482115085523</v>
      </c>
      <c r="J33" s="28">
        <f t="shared" si="37"/>
        <v>-0.02816901408450712</v>
      </c>
      <c r="K33" s="44">
        <f t="shared" si="37"/>
        <v>0.12011790714812079</v>
      </c>
      <c r="L33" s="21">
        <f t="shared" si="37"/>
        <v>0.14489465153970826</v>
      </c>
      <c r="M33" s="28">
        <f t="shared" si="37"/>
        <v>0.017595307917888648</v>
      </c>
      <c r="N33" s="44">
        <f t="shared" si="37"/>
        <v>0.13222416812609464</v>
      </c>
      <c r="O33" s="21">
        <f t="shared" si="37"/>
        <v>0.1338279747183292</v>
      </c>
      <c r="P33" s="28">
        <f t="shared" si="37"/>
        <v>0.01296296296296291</v>
      </c>
      <c r="Q33" s="44">
        <f t="shared" si="37"/>
        <v>0.11821009810959558</v>
      </c>
      <c r="R33" s="21">
        <f t="shared" si="37"/>
        <v>0.11845584346906396</v>
      </c>
      <c r="S33" s="28">
        <f t="shared" si="37"/>
        <v>0.010893246187363866</v>
      </c>
      <c r="T33" s="44">
        <f t="shared" si="37"/>
        <v>0.1068144305588304</v>
      </c>
      <c r="U33" s="21">
        <f t="shared" si="37"/>
        <v>0.13090686649334757</v>
      </c>
      <c r="V33" s="28">
        <f t="shared" si="37"/>
        <v>0.009446693657219821</v>
      </c>
      <c r="W33" s="63">
        <f t="shared" si="37"/>
        <v>0.11854395604395605</v>
      </c>
      <c r="X33" s="103"/>
      <c r="Y33" s="21">
        <f aca="true" t="shared" si="38" ref="Y33:BS33">Y32/Y6</f>
        <v>0.12573623559539054</v>
      </c>
      <c r="Z33" s="28">
        <f t="shared" si="38"/>
        <v>-0.006550218340611417</v>
      </c>
      <c r="AA33" s="44">
        <f t="shared" si="38"/>
        <v>0.11184964473985791</v>
      </c>
      <c r="AB33" s="21">
        <f t="shared" si="38"/>
        <v>0.14235337787676305</v>
      </c>
      <c r="AC33" s="28">
        <f t="shared" si="38"/>
        <v>0.03764320785597386</v>
      </c>
      <c r="AD33" s="44">
        <f t="shared" si="38"/>
        <v>0.13168861476912816</v>
      </c>
      <c r="AE33" s="21">
        <f t="shared" si="38"/>
        <v>0.1536628945801071</v>
      </c>
      <c r="AF33" s="28">
        <f t="shared" si="38"/>
        <v>0.03930817610062898</v>
      </c>
      <c r="AG33" s="44">
        <f t="shared" si="38"/>
        <v>0.14084258769610428</v>
      </c>
      <c r="AH33" s="21">
        <f t="shared" si="38"/>
        <v>0.146416843731891</v>
      </c>
      <c r="AI33" s="28">
        <f t="shared" si="38"/>
        <v>-0.004149377593360965</v>
      </c>
      <c r="AJ33" s="44">
        <f t="shared" si="38"/>
        <v>0.1335925075101608</v>
      </c>
      <c r="AK33" s="21">
        <f t="shared" si="38"/>
        <v>0.14302558056082434</v>
      </c>
      <c r="AL33" s="28">
        <f t="shared" si="38"/>
        <v>0.019661636945587486</v>
      </c>
      <c r="AM33" s="63">
        <f t="shared" si="38"/>
        <v>0.13058910297778192</v>
      </c>
      <c r="AN33" s="103"/>
      <c r="AO33" s="21">
        <f t="shared" si="38"/>
        <v>0.12012419949543951</v>
      </c>
      <c r="AP33" s="28">
        <f t="shared" si="38"/>
        <v>-0.060294117647058894</v>
      </c>
      <c r="AQ33" s="44">
        <f t="shared" si="38"/>
        <v>0.09909137665009418</v>
      </c>
      <c r="AR33" s="21">
        <f t="shared" si="38"/>
        <v>0.12916443969356847</v>
      </c>
      <c r="AS33" s="28">
        <f t="shared" si="38"/>
        <v>0.02561475409836057</v>
      </c>
      <c r="AT33" s="44">
        <f t="shared" si="38"/>
        <v>0.1138260737592958</v>
      </c>
      <c r="AU33" s="21">
        <f t="shared" si="38"/>
        <v>0.1589978712952351</v>
      </c>
      <c r="AV33" s="28">
        <f t="shared" si="38"/>
        <v>0.015993265993266014</v>
      </c>
      <c r="AW33" s="44">
        <f t="shared" si="38"/>
        <v>0.13570938999314602</v>
      </c>
      <c r="AX33" s="21">
        <f t="shared" si="38"/>
        <v>-0.24372253609541755</v>
      </c>
      <c r="AY33" s="28">
        <f t="shared" si="38"/>
        <v>-0.0036663611365720314</v>
      </c>
      <c r="AZ33" s="44">
        <f t="shared" si="38"/>
        <v>-0.20862923757202198</v>
      </c>
      <c r="BA33" s="21">
        <f t="shared" si="38"/>
        <v>0.0327812432781244</v>
      </c>
      <c r="BB33" s="28">
        <f t="shared" si="38"/>
        <v>-0.00025412960609920443</v>
      </c>
      <c r="BC33" s="63">
        <f t="shared" si="38"/>
        <v>0.02799852832965417</v>
      </c>
      <c r="BD33" s="103"/>
      <c r="BE33" s="21">
        <f t="shared" si="38"/>
        <v>0.1318561569197237</v>
      </c>
      <c r="BF33" s="28">
        <f t="shared" si="38"/>
        <v>-0.0519348268839103</v>
      </c>
      <c r="BG33" s="44">
        <f t="shared" si="38"/>
        <v>0.10403822441430324</v>
      </c>
      <c r="BH33" s="21">
        <f t="shared" si="38"/>
        <v>0.14901173563928355</v>
      </c>
      <c r="BI33" s="28">
        <f t="shared" si="38"/>
        <v>-0.046387154326494213</v>
      </c>
      <c r="BJ33" s="44">
        <f t="shared" si="38"/>
        <v>0.12017901803343425</v>
      </c>
      <c r="BK33" s="21">
        <f t="shared" si="38"/>
        <v>0.15915614236509754</v>
      </c>
      <c r="BL33" s="28">
        <f t="shared" si="38"/>
        <v>-0.5177956371986223</v>
      </c>
      <c r="BM33" s="44">
        <f t="shared" si="38"/>
        <v>0.08393927796912866</v>
      </c>
      <c r="BN33" s="21">
        <f t="shared" si="38"/>
        <v>-0.29892318736539836</v>
      </c>
      <c r="BO33" s="28">
        <f t="shared" si="38"/>
        <v>-7.66210256431446E-17</v>
      </c>
      <c r="BP33" s="44">
        <f t="shared" si="38"/>
        <v>-0.28442622950819657</v>
      </c>
      <c r="BQ33" s="21">
        <f t="shared" si="38"/>
        <v>0.027705961798186334</v>
      </c>
      <c r="BR33" s="28">
        <f t="shared" si="38"/>
        <v>-0.16641634124361673</v>
      </c>
      <c r="BS33" s="63">
        <f t="shared" si="38"/>
        <v>0.005607987963342934</v>
      </c>
      <c r="BT33" s="103"/>
      <c r="BU33" s="21">
        <f aca="true" t="shared" si="39" ref="BU33:CI33">BU32/BU6</f>
        <v>0.08832406671961873</v>
      </c>
      <c r="BV33" s="28">
        <f t="shared" si="39"/>
        <v>-1.0164013605723264E-16</v>
      </c>
      <c r="BW33" s="44">
        <f t="shared" si="39"/>
        <v>0.0873389883757462</v>
      </c>
      <c r="BX33" s="21" t="e">
        <f t="shared" si="39"/>
        <v>#DIV/0!</v>
      </c>
      <c r="BY33" s="28" t="e">
        <f t="shared" si="39"/>
        <v>#DIV/0!</v>
      </c>
      <c r="BZ33" s="44" t="e">
        <f t="shared" si="39"/>
        <v>#DIV/0!</v>
      </c>
      <c r="CA33" s="21" t="e">
        <f t="shared" si="39"/>
        <v>#DIV/0!</v>
      </c>
      <c r="CB33" s="28" t="e">
        <f t="shared" si="39"/>
        <v>#DIV/0!</v>
      </c>
      <c r="CC33" s="44" t="e">
        <f t="shared" si="39"/>
        <v>#DIV/0!</v>
      </c>
      <c r="CD33" s="21" t="e">
        <f t="shared" si="39"/>
        <v>#DIV/0!</v>
      </c>
      <c r="CE33" s="28" t="e">
        <f t="shared" si="39"/>
        <v>#DIV/0!</v>
      </c>
      <c r="CF33" s="44" t="e">
        <f t="shared" si="39"/>
        <v>#DIV/0!</v>
      </c>
      <c r="CG33" s="21">
        <f t="shared" si="39"/>
        <v>0.08832406671961873</v>
      </c>
      <c r="CH33" s="28">
        <f t="shared" si="39"/>
        <v>-1.0164013605723264E-16</v>
      </c>
      <c r="CI33" s="63">
        <f t="shared" si="39"/>
        <v>0.0873389883757462</v>
      </c>
    </row>
    <row r="34" spans="1:87" s="4" customFormat="1" ht="11.25">
      <c r="A34" s="48"/>
      <c r="B34" s="104"/>
      <c r="C34" s="22"/>
      <c r="D34" s="104"/>
      <c r="E34" s="22"/>
      <c r="F34" s="104"/>
      <c r="G34" s="22"/>
      <c r="H34" s="104"/>
      <c r="I34" s="22"/>
      <c r="J34" s="29"/>
      <c r="K34" s="45"/>
      <c r="L34" s="22"/>
      <c r="M34" s="29"/>
      <c r="N34" s="45"/>
      <c r="O34" s="22"/>
      <c r="P34" s="29"/>
      <c r="Q34" s="45"/>
      <c r="R34" s="22"/>
      <c r="S34" s="29"/>
      <c r="T34" s="45"/>
      <c r="U34" s="22"/>
      <c r="V34" s="29"/>
      <c r="W34" s="64"/>
      <c r="X34" s="104"/>
      <c r="Y34" s="22"/>
      <c r="Z34" s="29"/>
      <c r="AA34" s="45"/>
      <c r="AB34" s="22"/>
      <c r="AC34" s="29"/>
      <c r="AD34" s="45"/>
      <c r="AE34" s="22"/>
      <c r="AF34" s="29"/>
      <c r="AG34" s="45"/>
      <c r="AH34" s="22"/>
      <c r="AI34" s="29"/>
      <c r="AJ34" s="45"/>
      <c r="AK34" s="22"/>
      <c r="AL34" s="29"/>
      <c r="AM34" s="64"/>
      <c r="AN34" s="104"/>
      <c r="AO34" s="22"/>
      <c r="AP34" s="29"/>
      <c r="AQ34" s="45"/>
      <c r="AR34" s="22"/>
      <c r="AS34" s="29"/>
      <c r="AT34" s="45"/>
      <c r="AU34" s="22"/>
      <c r="AV34" s="29"/>
      <c r="AW34" s="45"/>
      <c r="AX34" s="22"/>
      <c r="AY34" s="29"/>
      <c r="AZ34" s="45"/>
      <c r="BA34" s="22"/>
      <c r="BB34" s="29"/>
      <c r="BC34" s="64"/>
      <c r="BD34" s="104"/>
      <c r="BE34" s="22"/>
      <c r="BF34" s="29"/>
      <c r="BG34" s="45"/>
      <c r="BH34" s="22"/>
      <c r="BI34" s="29"/>
      <c r="BJ34" s="45"/>
      <c r="BK34" s="22"/>
      <c r="BL34" s="29"/>
      <c r="BM34" s="45"/>
      <c r="BN34" s="22"/>
      <c r="BO34" s="29"/>
      <c r="BP34" s="45"/>
      <c r="BQ34" s="22"/>
      <c r="BR34" s="29"/>
      <c r="BS34" s="64"/>
      <c r="BT34" s="104"/>
      <c r="BU34" s="22"/>
      <c r="BV34" s="29"/>
      <c r="BW34" s="45"/>
      <c r="BX34" s="22"/>
      <c r="BY34" s="29"/>
      <c r="BZ34" s="45"/>
      <c r="CA34" s="22"/>
      <c r="CB34" s="29"/>
      <c r="CC34" s="45"/>
      <c r="CD34" s="22"/>
      <c r="CE34" s="29"/>
      <c r="CF34" s="45"/>
      <c r="CG34" s="22"/>
      <c r="CH34" s="29"/>
      <c r="CI34" s="64"/>
    </row>
    <row r="35" spans="1:87" s="68" customFormat="1" ht="12.75">
      <c r="A35" s="65" t="s">
        <v>9</v>
      </c>
      <c r="B35" s="97"/>
      <c r="C35" s="66">
        <v>0</v>
      </c>
      <c r="D35" s="97"/>
      <c r="E35" s="66">
        <v>-1.5</v>
      </c>
      <c r="F35" s="97"/>
      <c r="G35" s="66">
        <v>-3.6</v>
      </c>
      <c r="H35" s="97"/>
      <c r="I35" s="66">
        <f>K35-J35</f>
        <v>-1</v>
      </c>
      <c r="J35" s="66"/>
      <c r="K35" s="67">
        <v>-1</v>
      </c>
      <c r="L35" s="66">
        <f>N35-M35</f>
        <v>-1.5</v>
      </c>
      <c r="M35" s="66"/>
      <c r="N35" s="67">
        <v>-1.5</v>
      </c>
      <c r="O35" s="66">
        <f>Q35-P35</f>
        <v>-2.2</v>
      </c>
      <c r="P35" s="66"/>
      <c r="Q35" s="67">
        <v>-2.2</v>
      </c>
      <c r="R35" s="66">
        <f>T35-S35</f>
        <v>-0.9</v>
      </c>
      <c r="S35" s="66"/>
      <c r="T35" s="67">
        <v>-0.9</v>
      </c>
      <c r="U35" s="66">
        <f>W35-V35</f>
        <v>-5.6000000000000005</v>
      </c>
      <c r="V35" s="66">
        <f>J35+M35+P35+S35</f>
        <v>0</v>
      </c>
      <c r="W35" s="67">
        <f>K35+N35+Q35+T35</f>
        <v>-5.6000000000000005</v>
      </c>
      <c r="X35" s="97"/>
      <c r="Y35" s="66">
        <f>AA35-Z35</f>
        <v>-0.7</v>
      </c>
      <c r="Z35" s="66"/>
      <c r="AA35" s="67">
        <v>-0.7</v>
      </c>
      <c r="AB35" s="66">
        <f>AD35-AC35</f>
        <v>-1.9</v>
      </c>
      <c r="AC35" s="66"/>
      <c r="AD35" s="67">
        <v>-1.9</v>
      </c>
      <c r="AE35" s="66">
        <f>AG35-AF35</f>
        <v>-3.2</v>
      </c>
      <c r="AF35" s="66"/>
      <c r="AG35" s="67">
        <v>-3.2</v>
      </c>
      <c r="AH35" s="66">
        <f>AJ35-AI35</f>
        <v>-0.2</v>
      </c>
      <c r="AI35" s="66"/>
      <c r="AJ35" s="67">
        <v>-0.2</v>
      </c>
      <c r="AK35" s="66">
        <f>AM35-AL35</f>
        <v>-6</v>
      </c>
      <c r="AL35" s="66">
        <f>Z35+AC35+AF35+AI35</f>
        <v>0</v>
      </c>
      <c r="AM35" s="67">
        <f>AA35+AD35+AG35+AJ35</f>
        <v>-6</v>
      </c>
      <c r="AN35" s="97"/>
      <c r="AO35" s="66">
        <f>AQ35-AP35</f>
        <v>-1.1</v>
      </c>
      <c r="AP35" s="66"/>
      <c r="AQ35" s="67">
        <v>-1.1</v>
      </c>
      <c r="AR35" s="66">
        <f>AT35-AS35</f>
        <v>-3.7</v>
      </c>
      <c r="AS35" s="66"/>
      <c r="AT35" s="67">
        <v>-3.7</v>
      </c>
      <c r="AU35" s="66">
        <f>AW35-AV35</f>
        <v>-4.3</v>
      </c>
      <c r="AV35" s="66"/>
      <c r="AW35" s="67">
        <v>-4.3</v>
      </c>
      <c r="AX35" s="66">
        <f>AZ35-AY35</f>
        <v>-6.4</v>
      </c>
      <c r="AY35" s="66"/>
      <c r="AZ35" s="67">
        <v>-6.4</v>
      </c>
      <c r="BA35" s="66">
        <f>BC35-BB35</f>
        <v>-15.500000000000002</v>
      </c>
      <c r="BB35" s="66">
        <f>AP35+AS35+AV35+AY35</f>
        <v>0</v>
      </c>
      <c r="BC35" s="67">
        <f>AQ35+AT35+AW35+AZ35</f>
        <v>-15.500000000000002</v>
      </c>
      <c r="BD35" s="97"/>
      <c r="BE35" s="66">
        <f>BG35-BF35</f>
        <v>-3.8</v>
      </c>
      <c r="BF35" s="66"/>
      <c r="BG35" s="67">
        <v>-3.8</v>
      </c>
      <c r="BH35" s="66">
        <f>BJ35-BI35</f>
        <v>-9.3</v>
      </c>
      <c r="BI35" s="66"/>
      <c r="BJ35" s="67">
        <v>-9.3</v>
      </c>
      <c r="BK35" s="66">
        <f>BM35-BL35</f>
        <v>-4.9</v>
      </c>
      <c r="BL35" s="66"/>
      <c r="BM35" s="67">
        <v>-4.9</v>
      </c>
      <c r="BN35" s="66">
        <f>BP35-BO35</f>
        <v>-13.1</v>
      </c>
      <c r="BO35" s="66"/>
      <c r="BP35" s="67">
        <v>-13.1</v>
      </c>
      <c r="BQ35" s="66">
        <f>BS35-BR35</f>
        <v>-31.1</v>
      </c>
      <c r="BR35" s="66">
        <f>BF35+BI35+BL35+BO35</f>
        <v>0</v>
      </c>
      <c r="BS35" s="67">
        <f>BG35+BJ35+BM35+BP35</f>
        <v>-31.1</v>
      </c>
      <c r="BT35" s="97"/>
      <c r="BU35" s="66">
        <f>BW35-BV35</f>
        <v>-3.8</v>
      </c>
      <c r="BV35" s="66"/>
      <c r="BW35" s="67">
        <v>-3.8</v>
      </c>
      <c r="BX35" s="66">
        <f>BZ35-BY35</f>
        <v>0</v>
      </c>
      <c r="BY35" s="66"/>
      <c r="BZ35" s="67"/>
      <c r="CA35" s="66">
        <f>CC35-CB35</f>
        <v>0</v>
      </c>
      <c r="CB35" s="66"/>
      <c r="CC35" s="67"/>
      <c r="CD35" s="66">
        <f>CF35-CE35</f>
        <v>0</v>
      </c>
      <c r="CE35" s="66"/>
      <c r="CF35" s="67"/>
      <c r="CG35" s="66">
        <f>CI35-CH35</f>
        <v>-3.8</v>
      </c>
      <c r="CH35" s="66">
        <f>BV35+BY35+CB35+CE35</f>
        <v>0</v>
      </c>
      <c r="CI35" s="67">
        <f>BW35+BZ35+CC35+CF35</f>
        <v>-3.8</v>
      </c>
    </row>
    <row r="36" spans="1:87" s="4" customFormat="1" ht="11.25">
      <c r="A36" s="48"/>
      <c r="B36" s="100"/>
      <c r="C36" s="19"/>
      <c r="D36" s="100"/>
      <c r="E36" s="19"/>
      <c r="F36" s="100"/>
      <c r="G36" s="19"/>
      <c r="H36" s="100"/>
      <c r="I36" s="19"/>
      <c r="J36" s="26"/>
      <c r="K36" s="42"/>
      <c r="L36" s="19"/>
      <c r="M36" s="26"/>
      <c r="N36" s="42"/>
      <c r="O36" s="19"/>
      <c r="P36" s="26"/>
      <c r="Q36" s="42"/>
      <c r="R36" s="19"/>
      <c r="S36" s="26"/>
      <c r="T36" s="42"/>
      <c r="U36" s="19"/>
      <c r="V36" s="26"/>
      <c r="W36" s="61"/>
      <c r="X36" s="100"/>
      <c r="Y36" s="19"/>
      <c r="Z36" s="26"/>
      <c r="AA36" s="42"/>
      <c r="AB36" s="19"/>
      <c r="AC36" s="26"/>
      <c r="AD36" s="42"/>
      <c r="AE36" s="19"/>
      <c r="AF36" s="26"/>
      <c r="AG36" s="42"/>
      <c r="AH36" s="19"/>
      <c r="AI36" s="26"/>
      <c r="AJ36" s="42"/>
      <c r="AK36" s="19"/>
      <c r="AL36" s="26"/>
      <c r="AM36" s="61"/>
      <c r="AN36" s="100"/>
      <c r="AO36" s="19"/>
      <c r="AP36" s="26"/>
      <c r="AQ36" s="42"/>
      <c r="AR36" s="19"/>
      <c r="AS36" s="26"/>
      <c r="AT36" s="42"/>
      <c r="AU36" s="19"/>
      <c r="AV36" s="26"/>
      <c r="AW36" s="42"/>
      <c r="AX36" s="19"/>
      <c r="AY36" s="26"/>
      <c r="AZ36" s="42"/>
      <c r="BA36" s="19"/>
      <c r="BB36" s="26"/>
      <c r="BC36" s="61"/>
      <c r="BD36" s="100"/>
      <c r="BE36" s="19"/>
      <c r="BF36" s="26"/>
      <c r="BG36" s="42"/>
      <c r="BH36" s="19"/>
      <c r="BI36" s="26"/>
      <c r="BJ36" s="42"/>
      <c r="BK36" s="19"/>
      <c r="BL36" s="26"/>
      <c r="BM36" s="42"/>
      <c r="BN36" s="19"/>
      <c r="BO36" s="26"/>
      <c r="BP36" s="42"/>
      <c r="BQ36" s="19"/>
      <c r="BR36" s="26"/>
      <c r="BS36" s="61"/>
      <c r="BT36" s="100"/>
      <c r="BU36" s="19"/>
      <c r="BV36" s="26"/>
      <c r="BW36" s="42"/>
      <c r="BX36" s="19"/>
      <c r="BY36" s="26"/>
      <c r="BZ36" s="42"/>
      <c r="CA36" s="19"/>
      <c r="CB36" s="26"/>
      <c r="CC36" s="42"/>
      <c r="CD36" s="19"/>
      <c r="CE36" s="26"/>
      <c r="CF36" s="42"/>
      <c r="CG36" s="19"/>
      <c r="CH36" s="26"/>
      <c r="CI36" s="61"/>
    </row>
    <row r="37" spans="1:87" ht="13.5" thickBot="1">
      <c r="A37" s="10" t="s">
        <v>10</v>
      </c>
      <c r="B37" s="105"/>
      <c r="C37" s="107">
        <f>(C32+C35)/(33.972333*4)</f>
        <v>0.46140487319490253</v>
      </c>
      <c r="D37" s="108"/>
      <c r="E37" s="107">
        <f>(E32+E35)/(37.55125*4)</f>
        <v>0.6804034486202191</v>
      </c>
      <c r="F37" s="108"/>
      <c r="G37" s="107">
        <f>(G32+G35)/(38.863184*4)</f>
        <v>0.8446297143332359</v>
      </c>
      <c r="H37" s="108"/>
      <c r="I37" s="107">
        <f>K37-J37</f>
        <v>0.19566572057399115</v>
      </c>
      <c r="J37" s="107">
        <f>(J32+J35)/(40.886058*4)</f>
        <v>-0.0024458215071748975</v>
      </c>
      <c r="K37" s="109">
        <f>(K32+K35)/(40.886058*4)</f>
        <v>0.19321989906681625</v>
      </c>
      <c r="L37" s="107">
        <f>N37-M37</f>
        <v>0.2641487227748883</v>
      </c>
      <c r="M37" s="107">
        <f>(M32+M35)/(40.886058*4)</f>
        <v>0.0036687322607623536</v>
      </c>
      <c r="N37" s="109">
        <f>(N32+N35)/(40.886058*4)</f>
        <v>0.2678174550356507</v>
      </c>
      <c r="O37" s="107">
        <f>Q37-P37</f>
        <v>0.284326750209081</v>
      </c>
      <c r="P37" s="107">
        <f>(P32+P35)/(40.886058*4)</f>
        <v>0.004280187637556041</v>
      </c>
      <c r="Q37" s="109">
        <f>(Q32+Q35)/(40.886058*4)</f>
        <v>0.28860693784663705</v>
      </c>
      <c r="R37" s="107">
        <f>T37-S37</f>
        <v>0.26842891041244415</v>
      </c>
      <c r="S37" s="107">
        <f>(S32+S35)/(40.886058*4)</f>
        <v>0.0030572768839686225</v>
      </c>
      <c r="T37" s="109">
        <f>(T32+T35)/(40.886058*4)</f>
        <v>0.2714861872964128</v>
      </c>
      <c r="U37" s="107">
        <f>W37-V37</f>
        <v>1.0125701039704051</v>
      </c>
      <c r="V37" s="107">
        <f>(V32+V35)/(40.886058*4)</f>
        <v>0.008560375275111979</v>
      </c>
      <c r="W37" s="109">
        <f>(W32+W35)/(40.886058*4)</f>
        <v>1.0211304792455171</v>
      </c>
      <c r="X37" s="108"/>
      <c r="Y37" s="107">
        <f>AA37-Z37</f>
        <v>0.2916032846242179</v>
      </c>
      <c r="Z37" s="107">
        <f>(Z32+Z35)/(82.989463*2)</f>
        <v>-0.001807458375769963</v>
      </c>
      <c r="AA37" s="109">
        <f>(AA32+AA35)/(82.989463*2)</f>
        <v>0.28979582624844796</v>
      </c>
      <c r="AB37" s="107">
        <f>AD37-AC37</f>
        <v>0.4506596216919729</v>
      </c>
      <c r="AC37" s="107">
        <f>(AC32+AC35)/(82.989463*2)</f>
        <v>0.013857180880902934</v>
      </c>
      <c r="AD37" s="109">
        <f>(AD32+AD35)/(82.989463*2)</f>
        <v>0.4645168025728758</v>
      </c>
      <c r="AE37" s="107">
        <f>AG37-AF37</f>
        <v>0.44704470494043286</v>
      </c>
      <c r="AF37" s="107">
        <f>(AF32+AF35)/(82.989463*2)</f>
        <v>0.015062153131416232</v>
      </c>
      <c r="AG37" s="109">
        <f>(AG32+AG35)/(82.989463*2)</f>
        <v>0.4621068580718491</v>
      </c>
      <c r="AH37" s="107">
        <f>AJ37-AI37</f>
        <v>0.45547951069402626</v>
      </c>
      <c r="AI37" s="107">
        <f>(AI32+AI35)/(82.989463*2)</f>
        <v>-0.0012049722505132882</v>
      </c>
      <c r="AJ37" s="109">
        <f>(AJ32+AJ35)/(82.989463*2)</f>
        <v>0.45427453844351295</v>
      </c>
      <c r="AK37" s="107">
        <f>AM37-AL37</f>
        <v>1.6447871219506514</v>
      </c>
      <c r="AL37" s="107">
        <f>(AL32+AL35)/(82.989463*2)</f>
        <v>0.025906903386035785</v>
      </c>
      <c r="AM37" s="109">
        <f>(AM32+AM35)/(82.989463*2)</f>
        <v>1.670694025336687</v>
      </c>
      <c r="AN37" s="108"/>
      <c r="AO37" s="107">
        <f aca="true" t="shared" si="40" ref="AO37:BC37">(AO32+AO35)/(84.984344*2)</f>
        <v>0.3577129453396733</v>
      </c>
      <c r="AP37" s="107">
        <f t="shared" si="40"/>
        <v>-0.02412209006402406</v>
      </c>
      <c r="AQ37" s="109">
        <f t="shared" si="40"/>
        <v>0.33359085527564897</v>
      </c>
      <c r="AR37" s="110">
        <f t="shared" si="40"/>
        <v>0.404780438147525</v>
      </c>
      <c r="AS37" s="107">
        <f t="shared" si="40"/>
        <v>0.014708591502453627</v>
      </c>
      <c r="AT37" s="109">
        <f t="shared" si="40"/>
        <v>0.41948902964997886</v>
      </c>
      <c r="AU37" s="110">
        <f t="shared" si="40"/>
        <v>0.545982916571081</v>
      </c>
      <c r="AV37" s="107">
        <f t="shared" si="40"/>
        <v>0.011178529541864808</v>
      </c>
      <c r="AW37" s="109">
        <f t="shared" si="40"/>
        <v>0.5571614461129454</v>
      </c>
      <c r="AX37" s="110">
        <f t="shared" si="40"/>
        <v>-0.951351698378704</v>
      </c>
      <c r="AY37" s="107">
        <f t="shared" si="40"/>
        <v>-0.002353374640392639</v>
      </c>
      <c r="AZ37" s="109">
        <f t="shared" si="40"/>
        <v>-0.9537050730190963</v>
      </c>
      <c r="BA37" s="110">
        <f t="shared" si="40"/>
        <v>0.35712460167957627</v>
      </c>
      <c r="BB37" s="107">
        <f t="shared" si="40"/>
        <v>-0.0005883436600983645</v>
      </c>
      <c r="BC37" s="109">
        <f t="shared" si="40"/>
        <v>0.35653625801947736</v>
      </c>
      <c r="BD37" s="108"/>
      <c r="BE37" s="110">
        <f>(BE32+BE35)/176.1</f>
        <v>0.3906871095968192</v>
      </c>
      <c r="BF37" s="107">
        <f>(BF32+BF35)/176.1</f>
        <v>-0.028960817717206086</v>
      </c>
      <c r="BG37" s="109">
        <f>(BG32+BG35)/176.1</f>
        <v>0.3617262918796136</v>
      </c>
      <c r="BH37" s="110">
        <f>(BH32+BH35)/177.1</f>
        <v>0.49237718802936215</v>
      </c>
      <c r="BI37" s="107">
        <f>(BI32+BI35)/177.1</f>
        <v>-0.029361942405420675</v>
      </c>
      <c r="BJ37" s="109">
        <f>(BJ32+BJ35)/177.1</f>
        <v>0.46301524562394136</v>
      </c>
      <c r="BK37" s="110">
        <f>(BK32+BK35)/177.6</f>
        <v>0.5968468468468466</v>
      </c>
      <c r="BL37" s="107">
        <f>(BL32+BL35)/177.6</f>
        <v>-0.2539414414414415</v>
      </c>
      <c r="BM37" s="109">
        <f>(BM32+BM35)/178.1</f>
        <v>0.3419427288040424</v>
      </c>
      <c r="BN37" s="110">
        <f>(BN32+BN35)/178.223</f>
        <v>-1.2417028105238939</v>
      </c>
      <c r="BO37" s="107">
        <f>(BO32+BO35)/178.2223</f>
        <v>-1.526209913311428E-17</v>
      </c>
      <c r="BP37" s="109">
        <f>(BP32+BP35)/178.2</f>
        <v>-1.241863075196408</v>
      </c>
      <c r="BQ37" s="110">
        <f>BE37+BH37+BK37+BN37</f>
        <v>0.2382083339491341</v>
      </c>
      <c r="BR37" s="107">
        <f>BF37+BI37+BL37+BO37</f>
        <v>-0.31226420156406826</v>
      </c>
      <c r="BS37" s="109">
        <f>BG37+BJ37+BM37+BP37</f>
        <v>-0.07517880888881057</v>
      </c>
      <c r="BT37" s="108"/>
      <c r="BU37" s="110">
        <f>(BU32+BU35)/178.267</f>
        <v>0.2905753728957126</v>
      </c>
      <c r="BV37" s="107">
        <f>(BV32+BV35)/178.267</f>
        <v>-4.048113032733775E-18</v>
      </c>
      <c r="BW37" s="109">
        <f>(BW32+BW35)/178.267</f>
        <v>0.29057537289571284</v>
      </c>
      <c r="BX37" s="110">
        <f>(BX32+BX35)/177.1</f>
        <v>0</v>
      </c>
      <c r="BY37" s="107">
        <f>(BY32+BY35)/177.1</f>
        <v>0</v>
      </c>
      <c r="BZ37" s="109">
        <f>(BZ32+BZ35)/177.1</f>
        <v>0</v>
      </c>
      <c r="CA37" s="110">
        <f>(CA32+CA35)/177.6</f>
        <v>0</v>
      </c>
      <c r="CB37" s="107">
        <f>(CB32+CB35)/177.6</f>
        <v>0</v>
      </c>
      <c r="CC37" s="109">
        <f>(CC32+CC35)/178.1</f>
        <v>0</v>
      </c>
      <c r="CD37" s="110">
        <f>(CD32+CD35)/178.223</f>
        <v>0</v>
      </c>
      <c r="CE37" s="107">
        <f>(CE32+CE35)/178.2223</f>
        <v>0</v>
      </c>
      <c r="CF37" s="109">
        <f>(CF32+CF35)/178.2</f>
        <v>0</v>
      </c>
      <c r="CG37" s="110">
        <f>BU37+BX37+CA37+CD37</f>
        <v>0.2905753728957126</v>
      </c>
      <c r="CH37" s="107">
        <f>BV37+BY37+CB37+CE37</f>
        <v>-4.048113032733775E-18</v>
      </c>
      <c r="CI37" s="109">
        <f>BW37+BZ37+CC37+CF37</f>
        <v>0.29057537289571284</v>
      </c>
    </row>
    <row r="38" spans="2:87" ht="12.75">
      <c r="B38" s="90"/>
      <c r="C38" s="15"/>
      <c r="D38" s="90"/>
      <c r="E38" s="15"/>
      <c r="F38" s="90"/>
      <c r="G38" s="15"/>
      <c r="H38" s="90"/>
      <c r="I38" s="15"/>
      <c r="J38" s="15"/>
      <c r="K38" s="37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90"/>
      <c r="Y38" s="15"/>
      <c r="Z38" s="15"/>
      <c r="AA38" s="37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90"/>
      <c r="AO38" s="15"/>
      <c r="AP38" s="15"/>
      <c r="AQ38" s="37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90"/>
      <c r="BE38" s="15"/>
      <c r="BF38" s="15"/>
      <c r="BG38" s="37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90"/>
      <c r="BU38" s="15"/>
      <c r="BV38" s="15"/>
      <c r="BW38" s="37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</row>
    <row r="39" spans="2:87" ht="13.5" thickBot="1">
      <c r="B39" s="90"/>
      <c r="C39" s="15"/>
      <c r="D39" s="90"/>
      <c r="E39" s="15"/>
      <c r="F39" s="90"/>
      <c r="G39" s="15"/>
      <c r="H39" s="90"/>
      <c r="I39" s="15"/>
      <c r="J39" s="15"/>
      <c r="K39" s="37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90"/>
      <c r="Y39" s="15"/>
      <c r="Z39" s="15"/>
      <c r="AA39" s="37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90"/>
      <c r="AO39" s="15"/>
      <c r="AP39" s="15"/>
      <c r="AQ39" s="37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90"/>
      <c r="BE39" s="15"/>
      <c r="BF39" s="15"/>
      <c r="BG39" s="37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90"/>
      <c r="BU39" s="15"/>
      <c r="BV39" s="15"/>
      <c r="BW39" s="37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</row>
    <row r="40" spans="1:87" ht="15.75">
      <c r="A40" s="57" t="s">
        <v>15</v>
      </c>
      <c r="B40" s="91"/>
      <c r="C40" s="16"/>
      <c r="D40" s="91"/>
      <c r="E40" s="16"/>
      <c r="F40" s="91"/>
      <c r="G40" s="16"/>
      <c r="H40" s="91"/>
      <c r="I40" s="16"/>
      <c r="J40" s="16"/>
      <c r="K40" s="3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91"/>
      <c r="Y40" s="16"/>
      <c r="Z40" s="16"/>
      <c r="AA40" s="38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91"/>
      <c r="AO40" s="16"/>
      <c r="AP40" s="16"/>
      <c r="AQ40" s="38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91"/>
      <c r="BE40" s="16"/>
      <c r="BF40" s="16"/>
      <c r="BG40" s="38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91"/>
      <c r="BU40" s="16"/>
      <c r="BV40" s="16"/>
      <c r="BW40" s="38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</row>
    <row r="41" spans="1:75" ht="16.5" thickBot="1">
      <c r="A41" s="58" t="s">
        <v>51</v>
      </c>
      <c r="K41" s="30"/>
      <c r="AA41" s="30"/>
      <c r="AQ41" s="30"/>
      <c r="BG41" s="30"/>
      <c r="BW41" s="30"/>
    </row>
    <row r="42" spans="1:87" ht="16.5" thickBot="1">
      <c r="A42" s="59" t="s">
        <v>52</v>
      </c>
      <c r="B42" s="95"/>
      <c r="C42" s="39" t="s">
        <v>85</v>
      </c>
      <c r="D42" s="95"/>
      <c r="E42" s="39" t="s">
        <v>84</v>
      </c>
      <c r="F42" s="95"/>
      <c r="G42" s="39" t="s">
        <v>83</v>
      </c>
      <c r="H42" s="95"/>
      <c r="I42" s="56"/>
      <c r="J42" s="33" t="s">
        <v>78</v>
      </c>
      <c r="K42" s="35"/>
      <c r="L42" s="34"/>
      <c r="M42" s="33" t="s">
        <v>79</v>
      </c>
      <c r="N42" s="35"/>
      <c r="O42" s="34"/>
      <c r="P42" s="33" t="s">
        <v>80</v>
      </c>
      <c r="Q42" s="35"/>
      <c r="R42" s="34"/>
      <c r="S42" s="33" t="s">
        <v>81</v>
      </c>
      <c r="T42" s="35"/>
      <c r="U42" s="34"/>
      <c r="V42" s="39" t="s">
        <v>82</v>
      </c>
      <c r="W42" s="35"/>
      <c r="X42" s="95"/>
      <c r="Y42" s="56"/>
      <c r="Z42" s="33" t="s">
        <v>42</v>
      </c>
      <c r="AA42" s="35"/>
      <c r="AB42" s="34"/>
      <c r="AC42" s="33" t="s">
        <v>43</v>
      </c>
      <c r="AD42" s="35"/>
      <c r="AE42" s="34"/>
      <c r="AF42" s="33" t="s">
        <v>44</v>
      </c>
      <c r="AG42" s="35"/>
      <c r="AH42" s="34"/>
      <c r="AI42" s="33" t="s">
        <v>45</v>
      </c>
      <c r="AJ42" s="35"/>
      <c r="AK42" s="34"/>
      <c r="AL42" s="39" t="s">
        <v>46</v>
      </c>
      <c r="AM42" s="35"/>
      <c r="AN42" s="95"/>
      <c r="AO42" s="56"/>
      <c r="AP42" s="33" t="s">
        <v>68</v>
      </c>
      <c r="AQ42" s="35"/>
      <c r="AR42" s="34"/>
      <c r="AS42" s="33" t="s">
        <v>69</v>
      </c>
      <c r="AT42" s="35"/>
      <c r="AU42" s="34"/>
      <c r="AV42" s="33" t="s">
        <v>70</v>
      </c>
      <c r="AW42" s="35"/>
      <c r="AX42" s="34"/>
      <c r="AY42" s="33" t="s">
        <v>71</v>
      </c>
      <c r="AZ42" s="35"/>
      <c r="BA42" s="34"/>
      <c r="BB42" s="39" t="s">
        <v>72</v>
      </c>
      <c r="BC42" s="35"/>
      <c r="BD42" s="95"/>
      <c r="BE42" s="56"/>
      <c r="BF42" s="33" t="s">
        <v>74</v>
      </c>
      <c r="BG42" s="35"/>
      <c r="BH42" s="34"/>
      <c r="BI42" s="33" t="s">
        <v>75</v>
      </c>
      <c r="BJ42" s="35"/>
      <c r="BK42" s="34"/>
      <c r="BL42" s="33" t="s">
        <v>76</v>
      </c>
      <c r="BM42" s="35"/>
      <c r="BN42" s="34"/>
      <c r="BO42" s="33" t="s">
        <v>77</v>
      </c>
      <c r="BP42" s="35"/>
      <c r="BQ42" s="34"/>
      <c r="BR42" s="111">
        <v>2001</v>
      </c>
      <c r="BS42" s="35"/>
      <c r="BT42" s="95"/>
      <c r="BU42" s="56"/>
      <c r="BV42" s="33" t="s">
        <v>86</v>
      </c>
      <c r="BW42" s="35"/>
      <c r="BX42" s="34"/>
      <c r="BY42" s="33" t="s">
        <v>87</v>
      </c>
      <c r="BZ42" s="35"/>
      <c r="CA42" s="34"/>
      <c r="CB42" s="33" t="s">
        <v>88</v>
      </c>
      <c r="CC42" s="35"/>
      <c r="CD42" s="34"/>
      <c r="CE42" s="33" t="s">
        <v>89</v>
      </c>
      <c r="CF42" s="35"/>
      <c r="CG42" s="34"/>
      <c r="CH42" s="112" t="s">
        <v>90</v>
      </c>
      <c r="CI42" s="35"/>
    </row>
    <row r="43" spans="1:253" s="24" customFormat="1" ht="13.5" thickBot="1">
      <c r="A43" s="23" t="s">
        <v>0</v>
      </c>
      <c r="B43" s="96"/>
      <c r="C43" s="31" t="s">
        <v>41</v>
      </c>
      <c r="D43" s="96"/>
      <c r="E43" s="32" t="s">
        <v>41</v>
      </c>
      <c r="F43" s="96"/>
      <c r="G43" s="32" t="s">
        <v>41</v>
      </c>
      <c r="H43" s="96"/>
      <c r="I43" s="31" t="s">
        <v>39</v>
      </c>
      <c r="J43" s="32" t="s">
        <v>40</v>
      </c>
      <c r="K43" s="32" t="s">
        <v>41</v>
      </c>
      <c r="L43" s="31" t="s">
        <v>39</v>
      </c>
      <c r="M43" s="32" t="s">
        <v>40</v>
      </c>
      <c r="N43" s="36" t="s">
        <v>41</v>
      </c>
      <c r="O43" s="31" t="s">
        <v>39</v>
      </c>
      <c r="P43" s="32" t="s">
        <v>40</v>
      </c>
      <c r="Q43" s="36" t="s">
        <v>41</v>
      </c>
      <c r="R43" s="31" t="s">
        <v>39</v>
      </c>
      <c r="S43" s="32" t="s">
        <v>40</v>
      </c>
      <c r="T43" s="36" t="s">
        <v>41</v>
      </c>
      <c r="U43" s="31" t="s">
        <v>39</v>
      </c>
      <c r="V43" s="32" t="s">
        <v>40</v>
      </c>
      <c r="W43" s="36" t="s">
        <v>41</v>
      </c>
      <c r="X43" s="96"/>
      <c r="Y43" s="32" t="s">
        <v>39</v>
      </c>
      <c r="Z43" s="32" t="s">
        <v>40</v>
      </c>
      <c r="AA43" s="32" t="s">
        <v>41</v>
      </c>
      <c r="AB43" s="31" t="s">
        <v>39</v>
      </c>
      <c r="AC43" s="32" t="s">
        <v>40</v>
      </c>
      <c r="AD43" s="36" t="s">
        <v>41</v>
      </c>
      <c r="AE43" s="31" t="s">
        <v>39</v>
      </c>
      <c r="AF43" s="32" t="s">
        <v>40</v>
      </c>
      <c r="AG43" s="36" t="s">
        <v>41</v>
      </c>
      <c r="AH43" s="31" t="s">
        <v>39</v>
      </c>
      <c r="AI43" s="32" t="s">
        <v>40</v>
      </c>
      <c r="AJ43" s="36" t="s">
        <v>41</v>
      </c>
      <c r="AK43" s="31" t="s">
        <v>39</v>
      </c>
      <c r="AL43" s="32" t="s">
        <v>40</v>
      </c>
      <c r="AM43" s="36" t="s">
        <v>41</v>
      </c>
      <c r="AN43" s="96"/>
      <c r="AO43" s="31" t="s">
        <v>39</v>
      </c>
      <c r="AP43" s="32" t="s">
        <v>40</v>
      </c>
      <c r="AQ43" s="32" t="s">
        <v>41</v>
      </c>
      <c r="AR43" s="31" t="s">
        <v>39</v>
      </c>
      <c r="AS43" s="32" t="s">
        <v>40</v>
      </c>
      <c r="AT43" s="36" t="s">
        <v>41</v>
      </c>
      <c r="AU43" s="31" t="s">
        <v>39</v>
      </c>
      <c r="AV43" s="32" t="s">
        <v>40</v>
      </c>
      <c r="AW43" s="36" t="s">
        <v>41</v>
      </c>
      <c r="AX43" s="31" t="s">
        <v>39</v>
      </c>
      <c r="AY43" s="32" t="s">
        <v>40</v>
      </c>
      <c r="AZ43" s="36" t="s">
        <v>41</v>
      </c>
      <c r="BA43" s="31" t="s">
        <v>39</v>
      </c>
      <c r="BB43" s="32" t="s">
        <v>40</v>
      </c>
      <c r="BC43" s="36" t="s">
        <v>41</v>
      </c>
      <c r="BD43" s="96"/>
      <c r="BE43" s="31" t="s">
        <v>39</v>
      </c>
      <c r="BF43" s="32" t="s">
        <v>40</v>
      </c>
      <c r="BG43" s="32" t="s">
        <v>41</v>
      </c>
      <c r="BH43" s="31" t="s">
        <v>39</v>
      </c>
      <c r="BI43" s="32" t="s">
        <v>40</v>
      </c>
      <c r="BJ43" s="36" t="s">
        <v>41</v>
      </c>
      <c r="BK43" s="31" t="s">
        <v>39</v>
      </c>
      <c r="BL43" s="32" t="s">
        <v>40</v>
      </c>
      <c r="BM43" s="36" t="s">
        <v>41</v>
      </c>
      <c r="BN43" s="31" t="s">
        <v>39</v>
      </c>
      <c r="BO43" s="32" t="s">
        <v>40</v>
      </c>
      <c r="BP43" s="36" t="s">
        <v>41</v>
      </c>
      <c r="BQ43" s="31" t="s">
        <v>39</v>
      </c>
      <c r="BR43" s="32" t="s">
        <v>40</v>
      </c>
      <c r="BS43" s="36" t="s">
        <v>41</v>
      </c>
      <c r="BT43" s="96"/>
      <c r="BU43" s="31" t="s">
        <v>39</v>
      </c>
      <c r="BV43" s="32" t="s">
        <v>40</v>
      </c>
      <c r="BW43" s="32" t="s">
        <v>41</v>
      </c>
      <c r="BX43" s="31" t="s">
        <v>39</v>
      </c>
      <c r="BY43" s="32" t="s">
        <v>40</v>
      </c>
      <c r="BZ43" s="36" t="s">
        <v>41</v>
      </c>
      <c r="CA43" s="31" t="s">
        <v>39</v>
      </c>
      <c r="CB43" s="32" t="s">
        <v>40</v>
      </c>
      <c r="CC43" s="36" t="s">
        <v>41</v>
      </c>
      <c r="CD43" s="31" t="s">
        <v>39</v>
      </c>
      <c r="CE43" s="32" t="s">
        <v>40</v>
      </c>
      <c r="CF43" s="36" t="s">
        <v>41</v>
      </c>
      <c r="CG43" s="31" t="s">
        <v>39</v>
      </c>
      <c r="CH43" s="32" t="s">
        <v>40</v>
      </c>
      <c r="CI43" s="36" t="s">
        <v>41</v>
      </c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87" ht="12.75">
      <c r="A44" s="7" t="s">
        <v>31</v>
      </c>
      <c r="B44" s="95"/>
      <c r="C44" s="55"/>
      <c r="D44" s="95"/>
      <c r="E44" s="93"/>
      <c r="F44" s="95"/>
      <c r="G44" s="93"/>
      <c r="H44" s="95"/>
      <c r="I44" s="55"/>
      <c r="J44" s="12"/>
      <c r="K44" s="40"/>
      <c r="L44" s="55"/>
      <c r="M44" s="12"/>
      <c r="N44" s="40"/>
      <c r="O44" s="55"/>
      <c r="P44" s="12"/>
      <c r="Q44" s="40"/>
      <c r="R44" s="55"/>
      <c r="S44" s="12"/>
      <c r="T44" s="40"/>
      <c r="U44" s="55"/>
      <c r="V44" s="12"/>
      <c r="W44" s="40"/>
      <c r="X44" s="95"/>
      <c r="Y44" s="93"/>
      <c r="Z44" s="12"/>
      <c r="AA44" s="40"/>
      <c r="AB44" s="55"/>
      <c r="AC44" s="12"/>
      <c r="AD44" s="40"/>
      <c r="AE44" s="55"/>
      <c r="AF44" s="12"/>
      <c r="AG44" s="40"/>
      <c r="AH44" s="55"/>
      <c r="AI44" s="12"/>
      <c r="AJ44" s="40"/>
      <c r="AK44" s="55"/>
      <c r="AL44" s="12"/>
      <c r="AM44" s="40"/>
      <c r="AN44" s="95"/>
      <c r="AO44" s="55"/>
      <c r="AP44" s="12"/>
      <c r="AQ44" s="40"/>
      <c r="AR44" s="55"/>
      <c r="AS44" s="12"/>
      <c r="AT44" s="40"/>
      <c r="AU44" s="55"/>
      <c r="AV44" s="12"/>
      <c r="AW44" s="40"/>
      <c r="AX44" s="55"/>
      <c r="AY44" s="12"/>
      <c r="AZ44" s="40"/>
      <c r="BA44" s="55"/>
      <c r="BB44" s="12"/>
      <c r="BC44" s="40"/>
      <c r="BD44" s="95"/>
      <c r="BE44" s="55"/>
      <c r="BF44" s="12"/>
      <c r="BG44" s="40"/>
      <c r="BH44" s="55"/>
      <c r="BI44" s="12"/>
      <c r="BJ44" s="40"/>
      <c r="BK44" s="55"/>
      <c r="BL44" s="12"/>
      <c r="BM44" s="40"/>
      <c r="BN44" s="55"/>
      <c r="BO44" s="12"/>
      <c r="BP44" s="40"/>
      <c r="BQ44" s="55"/>
      <c r="BR44" s="12"/>
      <c r="BS44" s="40"/>
      <c r="BT44" s="95"/>
      <c r="BU44" s="55"/>
      <c r="BV44" s="12"/>
      <c r="BW44" s="40"/>
      <c r="BX44" s="55"/>
      <c r="BY44" s="12"/>
      <c r="BZ44" s="40"/>
      <c r="CA44" s="55"/>
      <c r="CB44" s="12"/>
      <c r="CC44" s="40"/>
      <c r="CD44" s="55"/>
      <c r="CE44" s="12"/>
      <c r="CF44" s="40"/>
      <c r="CG44" s="55"/>
      <c r="CH44" s="12"/>
      <c r="CI44" s="40"/>
    </row>
    <row r="45" spans="1:87" ht="12.75">
      <c r="A45" s="8" t="s">
        <v>16</v>
      </c>
      <c r="B45" s="106"/>
      <c r="C45" s="17">
        <v>22</v>
      </c>
      <c r="D45" s="106"/>
      <c r="E45" s="94">
        <v>20</v>
      </c>
      <c r="F45" s="106"/>
      <c r="G45" s="94">
        <v>27</v>
      </c>
      <c r="H45" s="106"/>
      <c r="I45" s="17">
        <f>K45-J45</f>
        <v>6</v>
      </c>
      <c r="J45" s="14"/>
      <c r="K45" s="49">
        <v>6</v>
      </c>
      <c r="L45" s="17">
        <f>N45-M45</f>
        <v>9</v>
      </c>
      <c r="M45" s="14"/>
      <c r="N45" s="49">
        <v>9</v>
      </c>
      <c r="O45" s="17">
        <f>Q45-P45</f>
        <v>9</v>
      </c>
      <c r="P45" s="14"/>
      <c r="Q45" s="49">
        <v>9</v>
      </c>
      <c r="R45" s="17">
        <f>T45-S45</f>
        <v>9</v>
      </c>
      <c r="S45" s="14"/>
      <c r="T45" s="49">
        <v>9</v>
      </c>
      <c r="U45" s="17">
        <f>W45-V45</f>
        <v>33</v>
      </c>
      <c r="V45" s="14"/>
      <c r="W45" s="49">
        <f>K45+N45+Q45+T45</f>
        <v>33</v>
      </c>
      <c r="X45" s="106"/>
      <c r="Y45" s="94">
        <f>AA45-Z45</f>
        <v>54</v>
      </c>
      <c r="Z45" s="14"/>
      <c r="AA45" s="49">
        <v>54</v>
      </c>
      <c r="AB45" s="17">
        <f>AD45-AC45</f>
        <v>126</v>
      </c>
      <c r="AC45" s="14"/>
      <c r="AD45" s="49">
        <v>126</v>
      </c>
      <c r="AE45" s="17">
        <f>AG45-AF45</f>
        <v>31</v>
      </c>
      <c r="AF45" s="14"/>
      <c r="AG45" s="49">
        <v>31</v>
      </c>
      <c r="AH45" s="17">
        <f>AJ45-AI45</f>
        <v>22</v>
      </c>
      <c r="AI45" s="14"/>
      <c r="AJ45" s="49">
        <v>22</v>
      </c>
      <c r="AK45" s="17">
        <f>AM45-AL45</f>
        <v>233</v>
      </c>
      <c r="AL45" s="14"/>
      <c r="AM45" s="49">
        <f>AA45+AD45+AG45+AJ45</f>
        <v>233</v>
      </c>
      <c r="AN45" s="106"/>
      <c r="AO45" s="17">
        <f>AQ45-AP45</f>
        <v>20</v>
      </c>
      <c r="AP45" s="14"/>
      <c r="AQ45" s="49">
        <v>20</v>
      </c>
      <c r="AR45" s="17">
        <f>AT45-AS45</f>
        <v>25</v>
      </c>
      <c r="AS45" s="14"/>
      <c r="AT45" s="49">
        <f>45-20</f>
        <v>25</v>
      </c>
      <c r="AU45" s="17">
        <f>AW45-AV45</f>
        <v>15</v>
      </c>
      <c r="AV45" s="14"/>
      <c r="AW45" s="49">
        <f>60-25-20</f>
        <v>15</v>
      </c>
      <c r="AX45" s="17">
        <f>AZ45-AY45</f>
        <v>20</v>
      </c>
      <c r="AY45" s="14"/>
      <c r="AZ45" s="49">
        <f>80-60</f>
        <v>20</v>
      </c>
      <c r="BA45" s="17">
        <f>BC45-BB45</f>
        <v>80</v>
      </c>
      <c r="BB45" s="14"/>
      <c r="BC45" s="49">
        <f>AQ45+AT45+AW45+AZ45</f>
        <v>80</v>
      </c>
      <c r="BD45" s="106"/>
      <c r="BE45" s="17">
        <f>BG45-BF45</f>
        <v>21</v>
      </c>
      <c r="BF45" s="14"/>
      <c r="BG45" s="49">
        <v>21</v>
      </c>
      <c r="BH45" s="17">
        <f>BJ45-BI45</f>
        <v>24</v>
      </c>
      <c r="BI45" s="14"/>
      <c r="BJ45" s="49">
        <f>45-21</f>
        <v>24</v>
      </c>
      <c r="BK45" s="17">
        <f>BM45-BL45</f>
        <v>15</v>
      </c>
      <c r="BL45" s="14"/>
      <c r="BM45" s="49">
        <f>60-45</f>
        <v>15</v>
      </c>
      <c r="BN45" s="17">
        <f>BP45-BO45</f>
        <v>17</v>
      </c>
      <c r="BO45" s="14"/>
      <c r="BP45" s="49">
        <f>32-(60-45)</f>
        <v>17</v>
      </c>
      <c r="BQ45" s="17">
        <f>BS45-BR45</f>
        <v>77</v>
      </c>
      <c r="BR45" s="14"/>
      <c r="BS45" s="49">
        <f>BG45+BJ45+BM45+BP45</f>
        <v>77</v>
      </c>
      <c r="BT45" s="106"/>
      <c r="BU45" s="17">
        <f>BW45-BV45</f>
        <v>14</v>
      </c>
      <c r="BV45" s="14"/>
      <c r="BW45" s="49">
        <v>14</v>
      </c>
      <c r="BX45" s="17">
        <f>BZ45-BY45</f>
        <v>0</v>
      </c>
      <c r="BY45" s="14"/>
      <c r="BZ45" s="49"/>
      <c r="CA45" s="17">
        <f>CC45-CB45</f>
        <v>0</v>
      </c>
      <c r="CB45" s="14"/>
      <c r="CC45" s="49"/>
      <c r="CD45" s="17">
        <f>CF45-CE45</f>
        <v>0</v>
      </c>
      <c r="CE45" s="14"/>
      <c r="CF45" s="49"/>
      <c r="CG45" s="17">
        <f>CI45-CH45</f>
        <v>14</v>
      </c>
      <c r="CH45" s="14"/>
      <c r="CI45" s="49">
        <f>BW45+BZ45+CC45+CF45</f>
        <v>14</v>
      </c>
    </row>
    <row r="46" spans="1:87" ht="12.75">
      <c r="A46" s="8" t="s">
        <v>17</v>
      </c>
      <c r="B46" s="106"/>
      <c r="C46" s="17">
        <v>69</v>
      </c>
      <c r="D46" s="106"/>
      <c r="E46" s="94">
        <v>134</v>
      </c>
      <c r="F46" s="106"/>
      <c r="G46" s="94">
        <v>89</v>
      </c>
      <c r="H46" s="106"/>
      <c r="I46" s="17">
        <f aca="true" t="shared" si="41" ref="I46:I54">K46-J46</f>
        <v>23</v>
      </c>
      <c r="J46" s="14"/>
      <c r="K46" s="49">
        <v>23</v>
      </c>
      <c r="L46" s="17">
        <f aca="true" t="shared" si="42" ref="L46:L54">N46-M46</f>
        <v>27</v>
      </c>
      <c r="M46" s="14"/>
      <c r="N46" s="49">
        <v>27</v>
      </c>
      <c r="O46" s="17">
        <f aca="true" t="shared" si="43" ref="O46:O54">Q46-P46</f>
        <v>24</v>
      </c>
      <c r="P46" s="14"/>
      <c r="Q46" s="49">
        <v>24</v>
      </c>
      <c r="R46" s="17">
        <f aca="true" t="shared" si="44" ref="R46:R54">T46-S46</f>
        <v>33</v>
      </c>
      <c r="S46" s="14"/>
      <c r="T46" s="49">
        <v>33</v>
      </c>
      <c r="U46" s="17">
        <f aca="true" t="shared" si="45" ref="U46:U54">W46-V46</f>
        <v>107</v>
      </c>
      <c r="V46" s="14"/>
      <c r="W46" s="49">
        <f aca="true" t="shared" si="46" ref="W46:W54">K46+N46+Q46+T46</f>
        <v>107</v>
      </c>
      <c r="X46" s="106"/>
      <c r="Y46" s="94">
        <f aca="true" t="shared" si="47" ref="Y46:Y54">AA46-Z46</f>
        <v>28</v>
      </c>
      <c r="Z46" s="14"/>
      <c r="AA46" s="49">
        <v>28</v>
      </c>
      <c r="AB46" s="17">
        <f aca="true" t="shared" si="48" ref="AB46:AB54">AD46-AC46</f>
        <v>27</v>
      </c>
      <c r="AC46" s="14"/>
      <c r="AD46" s="49">
        <v>27</v>
      </c>
      <c r="AE46" s="17">
        <f aca="true" t="shared" si="49" ref="AE46:AE54">AG46-AF46</f>
        <v>24</v>
      </c>
      <c r="AF46" s="14"/>
      <c r="AG46" s="49">
        <v>24</v>
      </c>
      <c r="AH46" s="17">
        <f aca="true" t="shared" si="50" ref="AH46:AH54">AJ46-AI46</f>
        <v>38</v>
      </c>
      <c r="AI46" s="14"/>
      <c r="AJ46" s="49">
        <v>38</v>
      </c>
      <c r="AK46" s="17">
        <f aca="true" t="shared" si="51" ref="AK46:AK54">AM46-AL46</f>
        <v>117</v>
      </c>
      <c r="AL46" s="14"/>
      <c r="AM46" s="49">
        <f aca="true" t="shared" si="52" ref="AM46:AM54">AA46+AD46+AG46+AJ46</f>
        <v>117</v>
      </c>
      <c r="AN46" s="106"/>
      <c r="AO46" s="17">
        <f aca="true" t="shared" si="53" ref="AO46:AO54">AQ46-AP46</f>
        <v>34</v>
      </c>
      <c r="AP46" s="14"/>
      <c r="AQ46" s="49">
        <v>34</v>
      </c>
      <c r="AR46" s="17">
        <f aca="true" t="shared" si="54" ref="AR46:AR54">AT46-AS46</f>
        <v>33</v>
      </c>
      <c r="AS46" s="14"/>
      <c r="AT46" s="49">
        <f>67-34</f>
        <v>33</v>
      </c>
      <c r="AU46" s="17">
        <f aca="true" t="shared" si="55" ref="AU46:AU54">AW46-AV46</f>
        <v>28</v>
      </c>
      <c r="AV46" s="14"/>
      <c r="AW46" s="49">
        <f>95-33-34</f>
        <v>28</v>
      </c>
      <c r="AX46" s="17">
        <f aca="true" t="shared" si="56" ref="AX46:AX54">AZ46-AY46</f>
        <v>30</v>
      </c>
      <c r="AY46" s="14"/>
      <c r="AZ46" s="49">
        <f>125-95</f>
        <v>30</v>
      </c>
      <c r="BA46" s="17">
        <f aca="true" t="shared" si="57" ref="BA46:BA54">BC46-BB46</f>
        <v>125</v>
      </c>
      <c r="BB46" s="14"/>
      <c r="BC46" s="49">
        <f aca="true" t="shared" si="58" ref="BC46:BC54">AQ46+AT46+AW46+AZ46</f>
        <v>125</v>
      </c>
      <c r="BD46" s="106"/>
      <c r="BE46" s="17">
        <f aca="true" t="shared" si="59" ref="BE46:BE54">BG46-BF46</f>
        <v>27</v>
      </c>
      <c r="BF46" s="14"/>
      <c r="BG46" s="49">
        <v>27</v>
      </c>
      <c r="BH46" s="17">
        <f aca="true" t="shared" si="60" ref="BH46:BH54">BJ46-BI46</f>
        <v>36</v>
      </c>
      <c r="BI46" s="14"/>
      <c r="BJ46" s="49">
        <f>63-27</f>
        <v>36</v>
      </c>
      <c r="BK46" s="17">
        <f aca="true" t="shared" si="61" ref="BK46:BK54">BM46-BL46</f>
        <v>25</v>
      </c>
      <c r="BL46" s="14"/>
      <c r="BM46" s="49">
        <f>88-63</f>
        <v>25</v>
      </c>
      <c r="BN46" s="17">
        <f aca="true" t="shared" si="62" ref="BN46:BN54">BP46-BO46</f>
        <v>34</v>
      </c>
      <c r="BO46" s="14"/>
      <c r="BP46" s="49">
        <f>59-(88-63)</f>
        <v>34</v>
      </c>
      <c r="BQ46" s="17">
        <f aca="true" t="shared" si="63" ref="BQ46:BQ54">BS46-BR46</f>
        <v>122</v>
      </c>
      <c r="BR46" s="14"/>
      <c r="BS46" s="49">
        <f aca="true" t="shared" si="64" ref="BS46:BS54">BG46+BJ46+BM46+BP46</f>
        <v>122</v>
      </c>
      <c r="BT46" s="106"/>
      <c r="BU46" s="17">
        <f aca="true" t="shared" si="65" ref="BU46:BU54">BW46-BV46</f>
        <v>39</v>
      </c>
      <c r="BV46" s="14"/>
      <c r="BW46" s="49">
        <v>39</v>
      </c>
      <c r="BX46" s="17">
        <f aca="true" t="shared" si="66" ref="BX46:BX54">BZ46-BY46</f>
        <v>0</v>
      </c>
      <c r="BY46" s="14"/>
      <c r="BZ46" s="49"/>
      <c r="CA46" s="17">
        <f aca="true" t="shared" si="67" ref="CA46:CA54">CC46-CB46</f>
        <v>0</v>
      </c>
      <c r="CB46" s="14"/>
      <c r="CC46" s="49"/>
      <c r="CD46" s="17">
        <f aca="true" t="shared" si="68" ref="CD46:CD54">CF46-CE46</f>
        <v>0</v>
      </c>
      <c r="CE46" s="14"/>
      <c r="CF46" s="49"/>
      <c r="CG46" s="17">
        <f aca="true" t="shared" si="69" ref="CG46:CG54">CI46-CH46</f>
        <v>39</v>
      </c>
      <c r="CH46" s="14"/>
      <c r="CI46" s="49">
        <f aca="true" t="shared" si="70" ref="CI46:CI54">BW46+BZ46+CC46+CF46</f>
        <v>39</v>
      </c>
    </row>
    <row r="47" spans="1:87" ht="12.75">
      <c r="A47" s="8" t="s">
        <v>18</v>
      </c>
      <c r="B47" s="106"/>
      <c r="C47" s="17">
        <v>14</v>
      </c>
      <c r="D47" s="106"/>
      <c r="E47" s="94">
        <v>50</v>
      </c>
      <c r="F47" s="106"/>
      <c r="G47" s="94">
        <v>48</v>
      </c>
      <c r="H47" s="106"/>
      <c r="I47" s="17">
        <f t="shared" si="41"/>
        <v>11</v>
      </c>
      <c r="J47" s="14"/>
      <c r="K47" s="49">
        <v>11</v>
      </c>
      <c r="L47" s="17">
        <f t="shared" si="42"/>
        <v>11</v>
      </c>
      <c r="M47" s="14"/>
      <c r="N47" s="49">
        <v>11</v>
      </c>
      <c r="O47" s="17">
        <f t="shared" si="43"/>
        <v>15</v>
      </c>
      <c r="P47" s="14"/>
      <c r="Q47" s="49">
        <v>15</v>
      </c>
      <c r="R47" s="17">
        <f t="shared" si="44"/>
        <v>25</v>
      </c>
      <c r="S47" s="14"/>
      <c r="T47" s="49">
        <v>25</v>
      </c>
      <c r="U47" s="17">
        <f t="shared" si="45"/>
        <v>62</v>
      </c>
      <c r="V47" s="14"/>
      <c r="W47" s="49">
        <f t="shared" si="46"/>
        <v>62</v>
      </c>
      <c r="X47" s="106"/>
      <c r="Y47" s="94">
        <f t="shared" si="47"/>
        <v>26</v>
      </c>
      <c r="Z47" s="14"/>
      <c r="AA47" s="49">
        <v>26</v>
      </c>
      <c r="AB47" s="17">
        <f t="shared" si="48"/>
        <v>23</v>
      </c>
      <c r="AC47" s="14"/>
      <c r="AD47" s="49">
        <v>23</v>
      </c>
      <c r="AE47" s="17">
        <f t="shared" si="49"/>
        <v>19</v>
      </c>
      <c r="AF47" s="14"/>
      <c r="AG47" s="49">
        <v>19</v>
      </c>
      <c r="AH47" s="17">
        <f t="shared" si="50"/>
        <v>26</v>
      </c>
      <c r="AI47" s="14"/>
      <c r="AJ47" s="49">
        <v>26</v>
      </c>
      <c r="AK47" s="17">
        <f t="shared" si="51"/>
        <v>94</v>
      </c>
      <c r="AL47" s="14"/>
      <c r="AM47" s="49">
        <f t="shared" si="52"/>
        <v>94</v>
      </c>
      <c r="AN47" s="106"/>
      <c r="AO47" s="17">
        <f t="shared" si="53"/>
        <v>23</v>
      </c>
      <c r="AP47" s="14"/>
      <c r="AQ47" s="49">
        <v>23</v>
      </c>
      <c r="AR47" s="17">
        <f t="shared" si="54"/>
        <v>24</v>
      </c>
      <c r="AS47" s="14"/>
      <c r="AT47" s="49">
        <f>47-23</f>
        <v>24</v>
      </c>
      <c r="AU47" s="17">
        <f t="shared" si="55"/>
        <v>16</v>
      </c>
      <c r="AV47" s="14"/>
      <c r="AW47" s="49">
        <f>63-24-23</f>
        <v>16</v>
      </c>
      <c r="AX47" s="17">
        <f t="shared" si="56"/>
        <v>18</v>
      </c>
      <c r="AY47" s="14"/>
      <c r="AZ47" s="49">
        <f>81-63</f>
        <v>18</v>
      </c>
      <c r="BA47" s="17">
        <f t="shared" si="57"/>
        <v>81</v>
      </c>
      <c r="BB47" s="14"/>
      <c r="BC47" s="49">
        <f t="shared" si="58"/>
        <v>81</v>
      </c>
      <c r="BD47" s="106"/>
      <c r="BE47" s="17">
        <f t="shared" si="59"/>
        <v>22</v>
      </c>
      <c r="BF47" s="14"/>
      <c r="BG47" s="49">
        <v>22</v>
      </c>
      <c r="BH47" s="17">
        <f t="shared" si="60"/>
        <v>19</v>
      </c>
      <c r="BI47" s="14"/>
      <c r="BJ47" s="49">
        <f>41-22</f>
        <v>19</v>
      </c>
      <c r="BK47" s="17">
        <f t="shared" si="61"/>
        <v>21</v>
      </c>
      <c r="BL47" s="14"/>
      <c r="BM47" s="49">
        <f>62-41</f>
        <v>21</v>
      </c>
      <c r="BN47" s="17">
        <f t="shared" si="62"/>
        <v>43</v>
      </c>
      <c r="BO47" s="14"/>
      <c r="BP47" s="49">
        <f>64-(62-41)</f>
        <v>43</v>
      </c>
      <c r="BQ47" s="17">
        <f t="shared" si="63"/>
        <v>105</v>
      </c>
      <c r="BR47" s="14"/>
      <c r="BS47" s="49">
        <f t="shared" si="64"/>
        <v>105</v>
      </c>
      <c r="BT47" s="106"/>
      <c r="BU47" s="17">
        <f t="shared" si="65"/>
        <v>25</v>
      </c>
      <c r="BV47" s="14"/>
      <c r="BW47" s="49">
        <v>25</v>
      </c>
      <c r="BX47" s="17">
        <f t="shared" si="66"/>
        <v>0</v>
      </c>
      <c r="BY47" s="14"/>
      <c r="BZ47" s="49"/>
      <c r="CA47" s="17">
        <f t="shared" si="67"/>
        <v>0</v>
      </c>
      <c r="CB47" s="14"/>
      <c r="CC47" s="49"/>
      <c r="CD47" s="17">
        <f t="shared" si="68"/>
        <v>0</v>
      </c>
      <c r="CE47" s="14"/>
      <c r="CF47" s="49"/>
      <c r="CG47" s="17">
        <f t="shared" si="69"/>
        <v>25</v>
      </c>
      <c r="CH47" s="14"/>
      <c r="CI47" s="49">
        <f t="shared" si="70"/>
        <v>25</v>
      </c>
    </row>
    <row r="48" spans="1:87" ht="12.75">
      <c r="A48" s="8" t="s">
        <v>19</v>
      </c>
      <c r="B48" s="106"/>
      <c r="C48" s="17">
        <v>41</v>
      </c>
      <c r="D48" s="106"/>
      <c r="E48" s="94">
        <v>44</v>
      </c>
      <c r="F48" s="106"/>
      <c r="G48" s="94">
        <v>60</v>
      </c>
      <c r="H48" s="106"/>
      <c r="I48" s="17">
        <f t="shared" si="41"/>
        <v>12</v>
      </c>
      <c r="J48" s="14"/>
      <c r="K48" s="49">
        <v>12</v>
      </c>
      <c r="L48" s="17">
        <f t="shared" si="42"/>
        <v>13</v>
      </c>
      <c r="M48" s="14"/>
      <c r="N48" s="49">
        <v>13</v>
      </c>
      <c r="O48" s="17">
        <f t="shared" si="43"/>
        <v>14</v>
      </c>
      <c r="P48" s="14"/>
      <c r="Q48" s="49">
        <v>14</v>
      </c>
      <c r="R48" s="17">
        <f t="shared" si="44"/>
        <v>18</v>
      </c>
      <c r="S48" s="14"/>
      <c r="T48" s="49">
        <v>18</v>
      </c>
      <c r="U48" s="17">
        <f t="shared" si="45"/>
        <v>57</v>
      </c>
      <c r="V48" s="14"/>
      <c r="W48" s="49">
        <f t="shared" si="46"/>
        <v>57</v>
      </c>
      <c r="X48" s="106"/>
      <c r="Y48" s="94">
        <f t="shared" si="47"/>
        <v>13</v>
      </c>
      <c r="Z48" s="14"/>
      <c r="AA48" s="49">
        <v>13</v>
      </c>
      <c r="AB48" s="17">
        <f t="shared" si="48"/>
        <v>16</v>
      </c>
      <c r="AC48" s="14"/>
      <c r="AD48" s="49">
        <v>16</v>
      </c>
      <c r="AE48" s="17">
        <f t="shared" si="49"/>
        <v>16</v>
      </c>
      <c r="AF48" s="14"/>
      <c r="AG48" s="49">
        <v>16</v>
      </c>
      <c r="AH48" s="17">
        <f t="shared" si="50"/>
        <v>24</v>
      </c>
      <c r="AI48" s="14"/>
      <c r="AJ48" s="49">
        <v>24</v>
      </c>
      <c r="AK48" s="17">
        <f t="shared" si="51"/>
        <v>69</v>
      </c>
      <c r="AL48" s="14"/>
      <c r="AM48" s="49">
        <f t="shared" si="52"/>
        <v>69</v>
      </c>
      <c r="AN48" s="106"/>
      <c r="AO48" s="17">
        <f t="shared" si="53"/>
        <v>19</v>
      </c>
      <c r="AP48" s="14"/>
      <c r="AQ48" s="49">
        <v>19</v>
      </c>
      <c r="AR48" s="17">
        <f t="shared" si="54"/>
        <v>21</v>
      </c>
      <c r="AS48" s="14"/>
      <c r="AT48" s="49">
        <f>40-19</f>
        <v>21</v>
      </c>
      <c r="AU48" s="17">
        <f t="shared" si="55"/>
        <v>15</v>
      </c>
      <c r="AV48" s="14"/>
      <c r="AW48" s="49">
        <f>55-21-19</f>
        <v>15</v>
      </c>
      <c r="AX48" s="17">
        <f t="shared" si="56"/>
        <v>16</v>
      </c>
      <c r="AY48" s="14"/>
      <c r="AZ48" s="49">
        <f>71-55</f>
        <v>16</v>
      </c>
      <c r="BA48" s="17">
        <f t="shared" si="57"/>
        <v>71</v>
      </c>
      <c r="BB48" s="14"/>
      <c r="BC48" s="49">
        <f t="shared" si="58"/>
        <v>71</v>
      </c>
      <c r="BD48" s="106"/>
      <c r="BE48" s="17">
        <f t="shared" si="59"/>
        <v>14</v>
      </c>
      <c r="BF48" s="14"/>
      <c r="BG48" s="49">
        <v>14</v>
      </c>
      <c r="BH48" s="17">
        <f t="shared" si="60"/>
        <v>15</v>
      </c>
      <c r="BI48" s="14"/>
      <c r="BJ48" s="49">
        <f>29-14</f>
        <v>15</v>
      </c>
      <c r="BK48" s="17">
        <f t="shared" si="61"/>
        <v>15</v>
      </c>
      <c r="BL48" s="14"/>
      <c r="BM48" s="49">
        <f>44-29</f>
        <v>15</v>
      </c>
      <c r="BN48" s="17">
        <f t="shared" si="62"/>
        <v>14</v>
      </c>
      <c r="BO48" s="14"/>
      <c r="BP48" s="49">
        <f>29-(44-29)</f>
        <v>14</v>
      </c>
      <c r="BQ48" s="17">
        <f t="shared" si="63"/>
        <v>58</v>
      </c>
      <c r="BR48" s="14"/>
      <c r="BS48" s="49">
        <f t="shared" si="64"/>
        <v>58</v>
      </c>
      <c r="BT48" s="106"/>
      <c r="BU48" s="17">
        <f t="shared" si="65"/>
        <v>55</v>
      </c>
      <c r="BV48" s="14"/>
      <c r="BW48" s="49">
        <v>55</v>
      </c>
      <c r="BX48" s="17">
        <f t="shared" si="66"/>
        <v>0</v>
      </c>
      <c r="BY48" s="14"/>
      <c r="BZ48" s="49"/>
      <c r="CA48" s="17">
        <f t="shared" si="67"/>
        <v>0</v>
      </c>
      <c r="CB48" s="14"/>
      <c r="CC48" s="49"/>
      <c r="CD48" s="17">
        <f t="shared" si="68"/>
        <v>0</v>
      </c>
      <c r="CE48" s="14"/>
      <c r="CF48" s="49"/>
      <c r="CG48" s="17">
        <f t="shared" si="69"/>
        <v>55</v>
      </c>
      <c r="CH48" s="14"/>
      <c r="CI48" s="49">
        <f t="shared" si="70"/>
        <v>55</v>
      </c>
    </row>
    <row r="49" spans="1:87" ht="12.75">
      <c r="A49" s="8" t="s">
        <v>20</v>
      </c>
      <c r="B49" s="106"/>
      <c r="C49" s="17">
        <v>36</v>
      </c>
      <c r="D49" s="106"/>
      <c r="E49" s="94">
        <v>42</v>
      </c>
      <c r="F49" s="106"/>
      <c r="G49" s="94">
        <v>81</v>
      </c>
      <c r="H49" s="106"/>
      <c r="I49" s="17">
        <f t="shared" si="41"/>
        <v>20</v>
      </c>
      <c r="J49" s="14"/>
      <c r="K49" s="49">
        <v>20</v>
      </c>
      <c r="L49" s="17">
        <f t="shared" si="42"/>
        <v>25</v>
      </c>
      <c r="M49" s="14"/>
      <c r="N49" s="49">
        <v>25</v>
      </c>
      <c r="O49" s="17">
        <f t="shared" si="43"/>
        <v>23</v>
      </c>
      <c r="P49" s="14"/>
      <c r="Q49" s="49">
        <v>23</v>
      </c>
      <c r="R49" s="17">
        <f t="shared" si="44"/>
        <v>29</v>
      </c>
      <c r="S49" s="14"/>
      <c r="T49" s="49">
        <v>29</v>
      </c>
      <c r="U49" s="17">
        <f t="shared" si="45"/>
        <v>97</v>
      </c>
      <c r="V49" s="14"/>
      <c r="W49" s="49">
        <f t="shared" si="46"/>
        <v>97</v>
      </c>
      <c r="X49" s="106"/>
      <c r="Y49" s="94">
        <f t="shared" si="47"/>
        <v>29</v>
      </c>
      <c r="Z49" s="14"/>
      <c r="AA49" s="49">
        <v>29</v>
      </c>
      <c r="AB49" s="17">
        <f t="shared" si="48"/>
        <v>33</v>
      </c>
      <c r="AC49" s="14"/>
      <c r="AD49" s="49">
        <v>33</v>
      </c>
      <c r="AE49" s="17">
        <f t="shared" si="49"/>
        <v>29</v>
      </c>
      <c r="AF49" s="14"/>
      <c r="AG49" s="49">
        <v>29</v>
      </c>
      <c r="AH49" s="17">
        <f t="shared" si="50"/>
        <v>32</v>
      </c>
      <c r="AI49" s="14"/>
      <c r="AJ49" s="49">
        <v>32</v>
      </c>
      <c r="AK49" s="17">
        <f t="shared" si="51"/>
        <v>123</v>
      </c>
      <c r="AL49" s="14"/>
      <c r="AM49" s="49">
        <f t="shared" si="52"/>
        <v>123</v>
      </c>
      <c r="AN49" s="106"/>
      <c r="AO49" s="17">
        <f t="shared" si="53"/>
        <v>29</v>
      </c>
      <c r="AP49" s="14"/>
      <c r="AQ49" s="49">
        <v>29</v>
      </c>
      <c r="AR49" s="17">
        <f t="shared" si="54"/>
        <v>36</v>
      </c>
      <c r="AS49" s="14"/>
      <c r="AT49" s="49">
        <f>65-29</f>
        <v>36</v>
      </c>
      <c r="AU49" s="17">
        <f t="shared" si="55"/>
        <v>32</v>
      </c>
      <c r="AV49" s="14"/>
      <c r="AW49" s="49">
        <f>97-36-29</f>
        <v>32</v>
      </c>
      <c r="AX49" s="17">
        <f t="shared" si="56"/>
        <v>39</v>
      </c>
      <c r="AY49" s="14"/>
      <c r="AZ49" s="49">
        <f>136-97</f>
        <v>39</v>
      </c>
      <c r="BA49" s="17">
        <f t="shared" si="57"/>
        <v>136</v>
      </c>
      <c r="BB49" s="14"/>
      <c r="BC49" s="49">
        <f t="shared" si="58"/>
        <v>136</v>
      </c>
      <c r="BD49" s="106"/>
      <c r="BE49" s="17">
        <f t="shared" si="59"/>
        <v>33</v>
      </c>
      <c r="BF49" s="14"/>
      <c r="BG49" s="49">
        <v>33</v>
      </c>
      <c r="BH49" s="17">
        <f t="shared" si="60"/>
        <v>55</v>
      </c>
      <c r="BI49" s="14"/>
      <c r="BJ49" s="49">
        <f>88-33</f>
        <v>55</v>
      </c>
      <c r="BK49" s="17">
        <f t="shared" si="61"/>
        <v>48</v>
      </c>
      <c r="BL49" s="14"/>
      <c r="BM49" s="49">
        <f>136-88</f>
        <v>48</v>
      </c>
      <c r="BN49" s="17">
        <f t="shared" si="62"/>
        <v>44</v>
      </c>
      <c r="BO49" s="14"/>
      <c r="BP49" s="49">
        <f>92-(136-88)</f>
        <v>44</v>
      </c>
      <c r="BQ49" s="17">
        <f t="shared" si="63"/>
        <v>180</v>
      </c>
      <c r="BR49" s="14"/>
      <c r="BS49" s="49">
        <f t="shared" si="64"/>
        <v>180</v>
      </c>
      <c r="BT49" s="106"/>
      <c r="BU49" s="17">
        <f t="shared" si="65"/>
        <v>15</v>
      </c>
      <c r="BV49" s="14"/>
      <c r="BW49" s="49">
        <v>15</v>
      </c>
      <c r="BX49" s="17">
        <f t="shared" si="66"/>
        <v>0</v>
      </c>
      <c r="BY49" s="14"/>
      <c r="BZ49" s="49"/>
      <c r="CA49" s="17">
        <f t="shared" si="67"/>
        <v>0</v>
      </c>
      <c r="CB49" s="14"/>
      <c r="CC49" s="49"/>
      <c r="CD49" s="17">
        <f t="shared" si="68"/>
        <v>0</v>
      </c>
      <c r="CE49" s="14"/>
      <c r="CF49" s="49"/>
      <c r="CG49" s="17">
        <f t="shared" si="69"/>
        <v>15</v>
      </c>
      <c r="CH49" s="14"/>
      <c r="CI49" s="49">
        <f t="shared" si="70"/>
        <v>15</v>
      </c>
    </row>
    <row r="50" spans="1:87" ht="12.75">
      <c r="A50" s="8" t="s">
        <v>21</v>
      </c>
      <c r="B50" s="106"/>
      <c r="C50" s="17">
        <v>97</v>
      </c>
      <c r="D50" s="106"/>
      <c r="E50" s="94">
        <v>115</v>
      </c>
      <c r="F50" s="106"/>
      <c r="G50" s="94">
        <v>147</v>
      </c>
      <c r="H50" s="106"/>
      <c r="I50" s="17">
        <f t="shared" si="41"/>
        <v>33</v>
      </c>
      <c r="J50" s="14"/>
      <c r="K50" s="49">
        <v>33</v>
      </c>
      <c r="L50" s="17">
        <f t="shared" si="42"/>
        <v>35</v>
      </c>
      <c r="M50" s="14"/>
      <c r="N50" s="49">
        <v>35</v>
      </c>
      <c r="O50" s="17">
        <f t="shared" si="43"/>
        <v>45</v>
      </c>
      <c r="P50" s="14"/>
      <c r="Q50" s="49">
        <v>45</v>
      </c>
      <c r="R50" s="17">
        <f t="shared" si="44"/>
        <v>47</v>
      </c>
      <c r="S50" s="14"/>
      <c r="T50" s="49">
        <v>47</v>
      </c>
      <c r="U50" s="17">
        <f t="shared" si="45"/>
        <v>160</v>
      </c>
      <c r="V50" s="14"/>
      <c r="W50" s="49">
        <f t="shared" si="46"/>
        <v>160</v>
      </c>
      <c r="X50" s="106"/>
      <c r="Y50" s="94">
        <f t="shared" si="47"/>
        <v>36</v>
      </c>
      <c r="Z50" s="14"/>
      <c r="AA50" s="49">
        <v>36</v>
      </c>
      <c r="AB50" s="17">
        <f t="shared" si="48"/>
        <v>55</v>
      </c>
      <c r="AC50" s="14"/>
      <c r="AD50" s="49">
        <v>55</v>
      </c>
      <c r="AE50" s="17">
        <f t="shared" si="49"/>
        <v>58</v>
      </c>
      <c r="AF50" s="14"/>
      <c r="AG50" s="49">
        <v>58</v>
      </c>
      <c r="AH50" s="17">
        <f t="shared" si="50"/>
        <v>71</v>
      </c>
      <c r="AI50" s="14"/>
      <c r="AJ50" s="49">
        <v>71</v>
      </c>
      <c r="AK50" s="17">
        <f t="shared" si="51"/>
        <v>220</v>
      </c>
      <c r="AL50" s="14"/>
      <c r="AM50" s="49">
        <f t="shared" si="52"/>
        <v>220</v>
      </c>
      <c r="AN50" s="106"/>
      <c r="AO50" s="17">
        <f t="shared" si="53"/>
        <v>55</v>
      </c>
      <c r="AP50" s="14"/>
      <c r="AQ50" s="49">
        <v>55</v>
      </c>
      <c r="AR50" s="17">
        <f t="shared" si="54"/>
        <v>60</v>
      </c>
      <c r="AS50" s="14"/>
      <c r="AT50" s="49">
        <f>115-55</f>
        <v>60</v>
      </c>
      <c r="AU50" s="17">
        <f t="shared" si="55"/>
        <v>73</v>
      </c>
      <c r="AV50" s="14"/>
      <c r="AW50" s="49">
        <f>188-60-55</f>
        <v>73</v>
      </c>
      <c r="AX50" s="17">
        <f t="shared" si="56"/>
        <v>70</v>
      </c>
      <c r="AY50" s="14"/>
      <c r="AZ50" s="49">
        <f>258-188</f>
        <v>70</v>
      </c>
      <c r="BA50" s="17">
        <f t="shared" si="57"/>
        <v>258</v>
      </c>
      <c r="BB50" s="14"/>
      <c r="BC50" s="49">
        <f t="shared" si="58"/>
        <v>258</v>
      </c>
      <c r="BD50" s="106"/>
      <c r="BE50" s="17">
        <f t="shared" si="59"/>
        <v>46</v>
      </c>
      <c r="BF50" s="14"/>
      <c r="BG50" s="49">
        <v>46</v>
      </c>
      <c r="BH50" s="17">
        <f t="shared" si="60"/>
        <v>45</v>
      </c>
      <c r="BI50" s="14"/>
      <c r="BJ50" s="49">
        <f>91-46</f>
        <v>45</v>
      </c>
      <c r="BK50" s="17">
        <f t="shared" si="61"/>
        <v>51</v>
      </c>
      <c r="BL50" s="14"/>
      <c r="BM50" s="49">
        <f>142-91</f>
        <v>51</v>
      </c>
      <c r="BN50" s="17">
        <f t="shared" si="62"/>
        <v>83</v>
      </c>
      <c r="BO50" s="14"/>
      <c r="BP50" s="49">
        <f>134-(142-91)</f>
        <v>83</v>
      </c>
      <c r="BQ50" s="17">
        <f t="shared" si="63"/>
        <v>225</v>
      </c>
      <c r="BR50" s="14"/>
      <c r="BS50" s="49">
        <f t="shared" si="64"/>
        <v>225</v>
      </c>
      <c r="BT50" s="106"/>
      <c r="BU50" s="17">
        <f t="shared" si="65"/>
        <v>45</v>
      </c>
      <c r="BV50" s="14"/>
      <c r="BW50" s="49">
        <v>45</v>
      </c>
      <c r="BX50" s="17">
        <f t="shared" si="66"/>
        <v>0</v>
      </c>
      <c r="BY50" s="14"/>
      <c r="BZ50" s="49"/>
      <c r="CA50" s="17">
        <f t="shared" si="67"/>
        <v>0</v>
      </c>
      <c r="CB50" s="14"/>
      <c r="CC50" s="49"/>
      <c r="CD50" s="17">
        <f t="shared" si="68"/>
        <v>0</v>
      </c>
      <c r="CE50" s="14"/>
      <c r="CF50" s="49"/>
      <c r="CG50" s="17">
        <f t="shared" si="69"/>
        <v>45</v>
      </c>
      <c r="CH50" s="14"/>
      <c r="CI50" s="49">
        <f t="shared" si="70"/>
        <v>45</v>
      </c>
    </row>
    <row r="51" spans="1:87" ht="12.75">
      <c r="A51" s="8" t="s">
        <v>22</v>
      </c>
      <c r="B51" s="106"/>
      <c r="C51" s="17">
        <v>13</v>
      </c>
      <c r="D51" s="106"/>
      <c r="E51" s="94">
        <v>16</v>
      </c>
      <c r="F51" s="106"/>
      <c r="G51" s="94">
        <v>34</v>
      </c>
      <c r="H51" s="106"/>
      <c r="I51" s="17">
        <f t="shared" si="41"/>
        <v>11</v>
      </c>
      <c r="J51" s="14"/>
      <c r="K51" s="49">
        <v>11</v>
      </c>
      <c r="L51" s="17">
        <f t="shared" si="42"/>
        <v>20</v>
      </c>
      <c r="M51" s="14"/>
      <c r="N51" s="49">
        <v>20</v>
      </c>
      <c r="O51" s="17">
        <f t="shared" si="43"/>
        <v>12</v>
      </c>
      <c r="P51" s="14"/>
      <c r="Q51" s="49">
        <v>12</v>
      </c>
      <c r="R51" s="17">
        <f t="shared" si="44"/>
        <v>19</v>
      </c>
      <c r="S51" s="14"/>
      <c r="T51" s="49">
        <v>19</v>
      </c>
      <c r="U51" s="17">
        <f t="shared" si="45"/>
        <v>62</v>
      </c>
      <c r="V51" s="14"/>
      <c r="W51" s="49">
        <f t="shared" si="46"/>
        <v>62</v>
      </c>
      <c r="X51" s="106"/>
      <c r="Y51" s="94">
        <f t="shared" si="47"/>
        <v>13</v>
      </c>
      <c r="Z51" s="14"/>
      <c r="AA51" s="49">
        <v>13</v>
      </c>
      <c r="AB51" s="17">
        <f t="shared" si="48"/>
        <v>18</v>
      </c>
      <c r="AC51" s="14"/>
      <c r="AD51" s="49">
        <v>18</v>
      </c>
      <c r="AE51" s="17">
        <f t="shared" si="49"/>
        <v>16</v>
      </c>
      <c r="AF51" s="14"/>
      <c r="AG51" s="49">
        <v>16</v>
      </c>
      <c r="AH51" s="17">
        <f t="shared" si="50"/>
        <v>19</v>
      </c>
      <c r="AI51" s="14"/>
      <c r="AJ51" s="49">
        <v>19</v>
      </c>
      <c r="AK51" s="17">
        <f t="shared" si="51"/>
        <v>66</v>
      </c>
      <c r="AL51" s="14"/>
      <c r="AM51" s="49">
        <f t="shared" si="52"/>
        <v>66</v>
      </c>
      <c r="AN51" s="106"/>
      <c r="AO51" s="17">
        <f t="shared" si="53"/>
        <v>15</v>
      </c>
      <c r="AP51" s="14"/>
      <c r="AQ51" s="49">
        <v>15</v>
      </c>
      <c r="AR51" s="17">
        <f t="shared" si="54"/>
        <v>17</v>
      </c>
      <c r="AS51" s="14"/>
      <c r="AT51" s="49">
        <f>32-15</f>
        <v>17</v>
      </c>
      <c r="AU51" s="17">
        <f t="shared" si="55"/>
        <v>19</v>
      </c>
      <c r="AV51" s="14"/>
      <c r="AW51" s="49">
        <f>51-17-15</f>
        <v>19</v>
      </c>
      <c r="AX51" s="17">
        <f t="shared" si="56"/>
        <v>21</v>
      </c>
      <c r="AY51" s="14"/>
      <c r="AZ51" s="49">
        <f>72-51</f>
        <v>21</v>
      </c>
      <c r="BA51" s="17">
        <f t="shared" si="57"/>
        <v>72</v>
      </c>
      <c r="BB51" s="14"/>
      <c r="BC51" s="49">
        <f t="shared" si="58"/>
        <v>72</v>
      </c>
      <c r="BD51" s="106"/>
      <c r="BE51" s="17">
        <f t="shared" si="59"/>
        <v>10</v>
      </c>
      <c r="BF51" s="14"/>
      <c r="BG51" s="49">
        <v>10</v>
      </c>
      <c r="BH51" s="17">
        <f t="shared" si="60"/>
        <v>12</v>
      </c>
      <c r="BI51" s="14"/>
      <c r="BJ51" s="49">
        <f>22-10</f>
        <v>12</v>
      </c>
      <c r="BK51" s="17">
        <f t="shared" si="61"/>
        <v>13</v>
      </c>
      <c r="BL51" s="14"/>
      <c r="BM51" s="49">
        <f>35-22</f>
        <v>13</v>
      </c>
      <c r="BN51" s="17">
        <f t="shared" si="62"/>
        <v>17</v>
      </c>
      <c r="BO51" s="14"/>
      <c r="BP51" s="49">
        <f>30-(35-22)</f>
        <v>17</v>
      </c>
      <c r="BQ51" s="17">
        <f t="shared" si="63"/>
        <v>52</v>
      </c>
      <c r="BR51" s="14"/>
      <c r="BS51" s="49">
        <f t="shared" si="64"/>
        <v>52</v>
      </c>
      <c r="BT51" s="106"/>
      <c r="BU51" s="17">
        <f t="shared" si="65"/>
        <v>12</v>
      </c>
      <c r="BV51" s="14"/>
      <c r="BW51" s="49">
        <v>12</v>
      </c>
      <c r="BX51" s="17">
        <f t="shared" si="66"/>
        <v>0</v>
      </c>
      <c r="BY51" s="14"/>
      <c r="BZ51" s="49"/>
      <c r="CA51" s="17">
        <f t="shared" si="67"/>
        <v>0</v>
      </c>
      <c r="CB51" s="14"/>
      <c r="CC51" s="49"/>
      <c r="CD51" s="17">
        <f t="shared" si="68"/>
        <v>0</v>
      </c>
      <c r="CE51" s="14"/>
      <c r="CF51" s="49"/>
      <c r="CG51" s="17">
        <f t="shared" si="69"/>
        <v>12</v>
      </c>
      <c r="CH51" s="14"/>
      <c r="CI51" s="49">
        <f t="shared" si="70"/>
        <v>12</v>
      </c>
    </row>
    <row r="52" spans="1:87" ht="12.75">
      <c r="A52" s="8" t="s">
        <v>53</v>
      </c>
      <c r="B52" s="106"/>
      <c r="C52" s="17">
        <v>6</v>
      </c>
      <c r="D52" s="106"/>
      <c r="E52" s="94">
        <v>7</v>
      </c>
      <c r="F52" s="106"/>
      <c r="G52" s="94">
        <v>11</v>
      </c>
      <c r="H52" s="106"/>
      <c r="I52" s="17">
        <f t="shared" si="41"/>
        <v>4</v>
      </c>
      <c r="J52" s="14"/>
      <c r="K52" s="49">
        <v>4</v>
      </c>
      <c r="L52" s="17">
        <f t="shared" si="42"/>
        <v>4</v>
      </c>
      <c r="M52" s="14"/>
      <c r="N52" s="49">
        <v>4</v>
      </c>
      <c r="O52" s="17">
        <f t="shared" si="43"/>
        <v>3</v>
      </c>
      <c r="P52" s="14"/>
      <c r="Q52" s="49">
        <v>3</v>
      </c>
      <c r="R52" s="17">
        <f t="shared" si="44"/>
        <v>1</v>
      </c>
      <c r="S52" s="14"/>
      <c r="T52" s="49">
        <v>1</v>
      </c>
      <c r="U52" s="17">
        <f t="shared" si="45"/>
        <v>12</v>
      </c>
      <c r="V52" s="14"/>
      <c r="W52" s="49">
        <f t="shared" si="46"/>
        <v>12</v>
      </c>
      <c r="X52" s="106"/>
      <c r="Y52" s="94">
        <f t="shared" si="47"/>
        <v>4</v>
      </c>
      <c r="Z52" s="14"/>
      <c r="AA52" s="49">
        <v>4</v>
      </c>
      <c r="AB52" s="17">
        <f t="shared" si="48"/>
        <v>4</v>
      </c>
      <c r="AC52" s="14"/>
      <c r="AD52" s="49">
        <v>4</v>
      </c>
      <c r="AE52" s="17">
        <f t="shared" si="49"/>
        <v>7</v>
      </c>
      <c r="AF52" s="14"/>
      <c r="AG52" s="49">
        <v>7</v>
      </c>
      <c r="AH52" s="17">
        <f t="shared" si="50"/>
        <v>1</v>
      </c>
      <c r="AI52" s="14"/>
      <c r="AJ52" s="49">
        <v>1</v>
      </c>
      <c r="AK52" s="17">
        <f t="shared" si="51"/>
        <v>16</v>
      </c>
      <c r="AL52" s="14"/>
      <c r="AM52" s="49">
        <f t="shared" si="52"/>
        <v>16</v>
      </c>
      <c r="AN52" s="106"/>
      <c r="AO52" s="17">
        <f t="shared" si="53"/>
        <v>12</v>
      </c>
      <c r="AP52" s="14"/>
      <c r="AQ52" s="49">
        <v>12</v>
      </c>
      <c r="AR52" s="17">
        <f t="shared" si="54"/>
        <v>11</v>
      </c>
      <c r="AS52" s="14"/>
      <c r="AT52" s="49">
        <f>23-12</f>
        <v>11</v>
      </c>
      <c r="AU52" s="17">
        <f t="shared" si="55"/>
        <v>15</v>
      </c>
      <c r="AV52" s="14"/>
      <c r="AW52" s="49">
        <f>38-11-12</f>
        <v>15</v>
      </c>
      <c r="AX52" s="17">
        <f t="shared" si="56"/>
        <v>16</v>
      </c>
      <c r="AY52" s="14"/>
      <c r="AZ52" s="49">
        <f>54-38</f>
        <v>16</v>
      </c>
      <c r="BA52" s="17">
        <f t="shared" si="57"/>
        <v>54</v>
      </c>
      <c r="BB52" s="14"/>
      <c r="BC52" s="49">
        <f t="shared" si="58"/>
        <v>54</v>
      </c>
      <c r="BD52" s="106"/>
      <c r="BE52" s="17">
        <f t="shared" si="59"/>
        <v>10</v>
      </c>
      <c r="BF52" s="14"/>
      <c r="BG52" s="49">
        <v>10</v>
      </c>
      <c r="BH52" s="17">
        <f t="shared" si="60"/>
        <v>11</v>
      </c>
      <c r="BI52" s="14"/>
      <c r="BJ52" s="49">
        <f>21-10</f>
        <v>11</v>
      </c>
      <c r="BK52" s="17">
        <f t="shared" si="61"/>
        <v>7</v>
      </c>
      <c r="BL52" s="14"/>
      <c r="BM52" s="49">
        <f>28-21</f>
        <v>7</v>
      </c>
      <c r="BN52" s="17">
        <f t="shared" si="62"/>
        <v>9</v>
      </c>
      <c r="BO52" s="14"/>
      <c r="BP52" s="49">
        <f>16-(28-21)</f>
        <v>9</v>
      </c>
      <c r="BQ52" s="17">
        <f t="shared" si="63"/>
        <v>37</v>
      </c>
      <c r="BR52" s="14"/>
      <c r="BS52" s="49">
        <f t="shared" si="64"/>
        <v>37</v>
      </c>
      <c r="BT52" s="106"/>
      <c r="BU52" s="17">
        <f t="shared" si="65"/>
        <v>9</v>
      </c>
      <c r="BV52" s="14"/>
      <c r="BW52" s="49">
        <v>9</v>
      </c>
      <c r="BX52" s="17">
        <f t="shared" si="66"/>
        <v>0</v>
      </c>
      <c r="BY52" s="14"/>
      <c r="BZ52" s="49"/>
      <c r="CA52" s="17">
        <f t="shared" si="67"/>
        <v>0</v>
      </c>
      <c r="CB52" s="14"/>
      <c r="CC52" s="49"/>
      <c r="CD52" s="17">
        <f t="shared" si="68"/>
        <v>0</v>
      </c>
      <c r="CE52" s="14"/>
      <c r="CF52" s="49"/>
      <c r="CG52" s="17">
        <f t="shared" si="69"/>
        <v>9</v>
      </c>
      <c r="CH52" s="14"/>
      <c r="CI52" s="49">
        <f t="shared" si="70"/>
        <v>9</v>
      </c>
    </row>
    <row r="53" spans="1:87" ht="12.75">
      <c r="A53" s="8" t="s">
        <v>54</v>
      </c>
      <c r="B53" s="106"/>
      <c r="C53" s="17">
        <v>4</v>
      </c>
      <c r="D53" s="106"/>
      <c r="E53" s="94">
        <v>5</v>
      </c>
      <c r="F53" s="106"/>
      <c r="G53" s="94">
        <v>5</v>
      </c>
      <c r="H53" s="106"/>
      <c r="I53" s="17">
        <f t="shared" si="41"/>
        <v>2</v>
      </c>
      <c r="J53" s="14"/>
      <c r="K53" s="49">
        <v>2</v>
      </c>
      <c r="L53" s="17">
        <f t="shared" si="42"/>
        <v>2</v>
      </c>
      <c r="M53" s="14"/>
      <c r="N53" s="49">
        <v>2</v>
      </c>
      <c r="O53" s="17">
        <f t="shared" si="43"/>
        <v>1</v>
      </c>
      <c r="P53" s="14"/>
      <c r="Q53" s="49">
        <v>1</v>
      </c>
      <c r="R53" s="17">
        <f t="shared" si="44"/>
        <v>1</v>
      </c>
      <c r="S53" s="14"/>
      <c r="T53" s="49">
        <v>1</v>
      </c>
      <c r="U53" s="17">
        <f t="shared" si="45"/>
        <v>6</v>
      </c>
      <c r="V53" s="14"/>
      <c r="W53" s="49">
        <f t="shared" si="46"/>
        <v>6</v>
      </c>
      <c r="X53" s="106"/>
      <c r="Y53" s="94">
        <f t="shared" si="47"/>
        <v>3</v>
      </c>
      <c r="Z53" s="14"/>
      <c r="AA53" s="49">
        <v>3</v>
      </c>
      <c r="AB53" s="17">
        <f t="shared" si="48"/>
        <v>2</v>
      </c>
      <c r="AC53" s="14"/>
      <c r="AD53" s="49">
        <v>2</v>
      </c>
      <c r="AE53" s="17">
        <f t="shared" si="49"/>
        <v>4</v>
      </c>
      <c r="AF53" s="14"/>
      <c r="AG53" s="49">
        <v>4</v>
      </c>
      <c r="AH53" s="17">
        <f t="shared" si="50"/>
        <v>0</v>
      </c>
      <c r="AI53" s="14"/>
      <c r="AJ53" s="49"/>
      <c r="AK53" s="17">
        <f t="shared" si="51"/>
        <v>9</v>
      </c>
      <c r="AL53" s="14"/>
      <c r="AM53" s="49">
        <f t="shared" si="52"/>
        <v>9</v>
      </c>
      <c r="AN53" s="106"/>
      <c r="AO53" s="17">
        <f t="shared" si="53"/>
        <v>3</v>
      </c>
      <c r="AP53" s="14"/>
      <c r="AQ53" s="49">
        <v>3</v>
      </c>
      <c r="AR53" s="17">
        <f t="shared" si="54"/>
        <v>2</v>
      </c>
      <c r="AS53" s="14"/>
      <c r="AT53" s="49">
        <f>5-3</f>
        <v>2</v>
      </c>
      <c r="AU53" s="17">
        <f t="shared" si="55"/>
        <v>1</v>
      </c>
      <c r="AV53" s="14"/>
      <c r="AW53" s="49">
        <f>6-2-3</f>
        <v>1</v>
      </c>
      <c r="AX53" s="17">
        <f t="shared" si="56"/>
        <v>2</v>
      </c>
      <c r="AY53" s="14"/>
      <c r="AZ53" s="49">
        <v>2</v>
      </c>
      <c r="BA53" s="17">
        <f t="shared" si="57"/>
        <v>8</v>
      </c>
      <c r="BB53" s="14"/>
      <c r="BC53" s="49">
        <f t="shared" si="58"/>
        <v>8</v>
      </c>
      <c r="BD53" s="106"/>
      <c r="BE53" s="17">
        <f t="shared" si="59"/>
        <v>7</v>
      </c>
      <c r="BF53" s="14"/>
      <c r="BG53" s="49">
        <v>7</v>
      </c>
      <c r="BH53" s="17">
        <f t="shared" si="60"/>
        <v>10</v>
      </c>
      <c r="BI53" s="14"/>
      <c r="BJ53" s="49">
        <f>17-7</f>
        <v>10</v>
      </c>
      <c r="BK53" s="17">
        <f t="shared" si="61"/>
        <v>10</v>
      </c>
      <c r="BL53" s="14"/>
      <c r="BM53" s="49">
        <f>27-17</f>
        <v>10</v>
      </c>
      <c r="BN53" s="17">
        <f t="shared" si="62"/>
        <v>15</v>
      </c>
      <c r="BO53" s="14"/>
      <c r="BP53" s="49">
        <f>25-(27-17)</f>
        <v>15</v>
      </c>
      <c r="BQ53" s="17">
        <f t="shared" si="63"/>
        <v>42</v>
      </c>
      <c r="BR53" s="14"/>
      <c r="BS53" s="49">
        <f t="shared" si="64"/>
        <v>42</v>
      </c>
      <c r="BT53" s="106"/>
      <c r="BU53" s="17">
        <f t="shared" si="65"/>
        <v>7</v>
      </c>
      <c r="BV53" s="14"/>
      <c r="BW53" s="49">
        <v>7</v>
      </c>
      <c r="BX53" s="17">
        <f t="shared" si="66"/>
        <v>0</v>
      </c>
      <c r="BY53" s="14"/>
      <c r="BZ53" s="49"/>
      <c r="CA53" s="17">
        <f t="shared" si="67"/>
        <v>0</v>
      </c>
      <c r="CB53" s="14"/>
      <c r="CC53" s="49"/>
      <c r="CD53" s="17">
        <f t="shared" si="68"/>
        <v>0</v>
      </c>
      <c r="CE53" s="14"/>
      <c r="CF53" s="49"/>
      <c r="CG53" s="17">
        <f t="shared" si="69"/>
        <v>7</v>
      </c>
      <c r="CH53" s="14"/>
      <c r="CI53" s="49">
        <f t="shared" si="70"/>
        <v>7</v>
      </c>
    </row>
    <row r="54" spans="1:87" ht="12.75">
      <c r="A54" s="8" t="s">
        <v>23</v>
      </c>
      <c r="B54" s="106"/>
      <c r="C54" s="17">
        <v>3</v>
      </c>
      <c r="D54" s="106"/>
      <c r="E54" s="94">
        <v>2</v>
      </c>
      <c r="F54" s="106"/>
      <c r="G54" s="94">
        <v>7</v>
      </c>
      <c r="H54" s="106"/>
      <c r="I54" s="17">
        <f t="shared" si="41"/>
        <v>2</v>
      </c>
      <c r="J54" s="14"/>
      <c r="K54" s="49">
        <v>2</v>
      </c>
      <c r="L54" s="17">
        <f t="shared" si="42"/>
        <v>1</v>
      </c>
      <c r="M54" s="14"/>
      <c r="N54" s="49">
        <v>1</v>
      </c>
      <c r="O54" s="17">
        <f t="shared" si="43"/>
        <v>2</v>
      </c>
      <c r="P54" s="14"/>
      <c r="Q54" s="49">
        <v>2</v>
      </c>
      <c r="R54" s="17">
        <f t="shared" si="44"/>
        <v>1</v>
      </c>
      <c r="S54" s="14"/>
      <c r="T54" s="49">
        <v>1</v>
      </c>
      <c r="U54" s="17">
        <f t="shared" si="45"/>
        <v>6</v>
      </c>
      <c r="V54" s="14"/>
      <c r="W54" s="49">
        <f t="shared" si="46"/>
        <v>6</v>
      </c>
      <c r="X54" s="106"/>
      <c r="Y54" s="94">
        <f t="shared" si="47"/>
        <v>1</v>
      </c>
      <c r="Z54" s="14"/>
      <c r="AA54" s="49">
        <v>1</v>
      </c>
      <c r="AB54" s="17">
        <f t="shared" si="48"/>
        <v>1</v>
      </c>
      <c r="AC54" s="14"/>
      <c r="AD54" s="49">
        <v>1</v>
      </c>
      <c r="AE54" s="17">
        <f t="shared" si="49"/>
        <v>1</v>
      </c>
      <c r="AF54" s="14"/>
      <c r="AG54" s="49">
        <v>1</v>
      </c>
      <c r="AH54" s="17">
        <f t="shared" si="50"/>
        <v>0</v>
      </c>
      <c r="AI54" s="14"/>
      <c r="AJ54" s="49"/>
      <c r="AK54" s="17">
        <f t="shared" si="51"/>
        <v>3</v>
      </c>
      <c r="AL54" s="14"/>
      <c r="AM54" s="49">
        <f t="shared" si="52"/>
        <v>3</v>
      </c>
      <c r="AN54" s="106"/>
      <c r="AO54" s="17">
        <f t="shared" si="53"/>
        <v>2</v>
      </c>
      <c r="AP54" s="14"/>
      <c r="AQ54" s="49">
        <v>2</v>
      </c>
      <c r="AR54" s="17">
        <f t="shared" si="54"/>
        <v>0</v>
      </c>
      <c r="AS54" s="14"/>
      <c r="AT54" s="49">
        <f>2-2</f>
        <v>0</v>
      </c>
      <c r="AU54" s="17">
        <f t="shared" si="55"/>
        <v>0</v>
      </c>
      <c r="AV54" s="14"/>
      <c r="AW54" s="49">
        <f>2-2</f>
        <v>0</v>
      </c>
      <c r="AX54" s="17">
        <f t="shared" si="56"/>
        <v>6</v>
      </c>
      <c r="AY54" s="14"/>
      <c r="AZ54" s="49">
        <v>6</v>
      </c>
      <c r="BA54" s="17">
        <f t="shared" si="57"/>
        <v>8</v>
      </c>
      <c r="BB54" s="14"/>
      <c r="BC54" s="49">
        <f t="shared" si="58"/>
        <v>8</v>
      </c>
      <c r="BD54" s="106"/>
      <c r="BE54" s="17">
        <f t="shared" si="59"/>
        <v>2</v>
      </c>
      <c r="BF54" s="14"/>
      <c r="BG54" s="49">
        <v>2</v>
      </c>
      <c r="BH54" s="17">
        <f t="shared" si="60"/>
        <v>0</v>
      </c>
      <c r="BI54" s="14"/>
      <c r="BJ54" s="49">
        <v>0</v>
      </c>
      <c r="BK54" s="17">
        <f t="shared" si="61"/>
        <v>1</v>
      </c>
      <c r="BL54" s="14"/>
      <c r="BM54" s="49">
        <f>3-2</f>
        <v>1</v>
      </c>
      <c r="BN54" s="17">
        <f t="shared" si="62"/>
        <v>9</v>
      </c>
      <c r="BO54" s="14"/>
      <c r="BP54" s="49">
        <f>10-(3-2)</f>
        <v>9</v>
      </c>
      <c r="BQ54" s="17">
        <f t="shared" si="63"/>
        <v>12</v>
      </c>
      <c r="BR54" s="14"/>
      <c r="BS54" s="49">
        <f t="shared" si="64"/>
        <v>12</v>
      </c>
      <c r="BT54" s="106"/>
      <c r="BU54" s="17">
        <f t="shared" si="65"/>
        <v>3</v>
      </c>
      <c r="BV54" s="14"/>
      <c r="BW54" s="49">
        <v>3</v>
      </c>
      <c r="BX54" s="17">
        <f t="shared" si="66"/>
        <v>0</v>
      </c>
      <c r="BY54" s="14"/>
      <c r="BZ54" s="49"/>
      <c r="CA54" s="17">
        <f t="shared" si="67"/>
        <v>0</v>
      </c>
      <c r="CB54" s="14"/>
      <c r="CC54" s="49"/>
      <c r="CD54" s="17">
        <f t="shared" si="68"/>
        <v>0</v>
      </c>
      <c r="CE54" s="14"/>
      <c r="CF54" s="49"/>
      <c r="CG54" s="17">
        <f t="shared" si="69"/>
        <v>3</v>
      </c>
      <c r="CH54" s="14"/>
      <c r="CI54" s="49">
        <f t="shared" si="70"/>
        <v>3</v>
      </c>
    </row>
    <row r="55" spans="1:87" ht="12.75">
      <c r="A55" s="9" t="s">
        <v>30</v>
      </c>
      <c r="B55" s="106"/>
      <c r="C55" s="3">
        <f>SUM(C45:C54)</f>
        <v>305</v>
      </c>
      <c r="D55" s="106"/>
      <c r="E55" s="13">
        <f>SUM(E45:E54)</f>
        <v>435</v>
      </c>
      <c r="F55" s="106"/>
      <c r="G55" s="13">
        <f>SUM(G45:G54)</f>
        <v>509</v>
      </c>
      <c r="H55" s="106"/>
      <c r="I55" s="3">
        <f aca="true" t="shared" si="71" ref="I55:W55">SUM(I45:I54)</f>
        <v>124</v>
      </c>
      <c r="J55" s="13">
        <f t="shared" si="71"/>
        <v>0</v>
      </c>
      <c r="K55" s="50">
        <f t="shared" si="71"/>
        <v>124</v>
      </c>
      <c r="L55" s="3">
        <f t="shared" si="71"/>
        <v>147</v>
      </c>
      <c r="M55" s="13">
        <f t="shared" si="71"/>
        <v>0</v>
      </c>
      <c r="N55" s="50">
        <f t="shared" si="71"/>
        <v>147</v>
      </c>
      <c r="O55" s="3">
        <f t="shared" si="71"/>
        <v>148</v>
      </c>
      <c r="P55" s="13">
        <f t="shared" si="71"/>
        <v>0</v>
      </c>
      <c r="Q55" s="50">
        <f t="shared" si="71"/>
        <v>148</v>
      </c>
      <c r="R55" s="3">
        <f t="shared" si="71"/>
        <v>183</v>
      </c>
      <c r="S55" s="13">
        <f t="shared" si="71"/>
        <v>0</v>
      </c>
      <c r="T55" s="50">
        <f t="shared" si="71"/>
        <v>183</v>
      </c>
      <c r="U55" s="3">
        <f t="shared" si="71"/>
        <v>602</v>
      </c>
      <c r="V55" s="13">
        <f t="shared" si="71"/>
        <v>0</v>
      </c>
      <c r="W55" s="50">
        <f t="shared" si="71"/>
        <v>602</v>
      </c>
      <c r="X55" s="106"/>
      <c r="Y55" s="13">
        <f aca="true" t="shared" si="72" ref="Y55:BS55">SUM(Y45:Y54)</f>
        <v>207</v>
      </c>
      <c r="Z55" s="13">
        <f t="shared" si="72"/>
        <v>0</v>
      </c>
      <c r="AA55" s="50">
        <f t="shared" si="72"/>
        <v>207</v>
      </c>
      <c r="AB55" s="3">
        <f t="shared" si="72"/>
        <v>305</v>
      </c>
      <c r="AC55" s="13">
        <f t="shared" si="72"/>
        <v>0</v>
      </c>
      <c r="AD55" s="50">
        <f t="shared" si="72"/>
        <v>305</v>
      </c>
      <c r="AE55" s="3">
        <f t="shared" si="72"/>
        <v>205</v>
      </c>
      <c r="AF55" s="13">
        <f t="shared" si="72"/>
        <v>0</v>
      </c>
      <c r="AG55" s="50">
        <f t="shared" si="72"/>
        <v>205</v>
      </c>
      <c r="AH55" s="3">
        <f t="shared" si="72"/>
        <v>233</v>
      </c>
      <c r="AI55" s="13">
        <f t="shared" si="72"/>
        <v>0</v>
      </c>
      <c r="AJ55" s="50">
        <f t="shared" si="72"/>
        <v>233</v>
      </c>
      <c r="AK55" s="3">
        <f t="shared" si="72"/>
        <v>950</v>
      </c>
      <c r="AL55" s="13">
        <f t="shared" si="72"/>
        <v>0</v>
      </c>
      <c r="AM55" s="50">
        <f t="shared" si="72"/>
        <v>950</v>
      </c>
      <c r="AN55" s="106"/>
      <c r="AO55" s="3">
        <f t="shared" si="72"/>
        <v>212</v>
      </c>
      <c r="AP55" s="13">
        <f t="shared" si="72"/>
        <v>0</v>
      </c>
      <c r="AQ55" s="50">
        <f t="shared" si="72"/>
        <v>212</v>
      </c>
      <c r="AR55" s="3">
        <f t="shared" si="72"/>
        <v>229</v>
      </c>
      <c r="AS55" s="13">
        <f t="shared" si="72"/>
        <v>0</v>
      </c>
      <c r="AT55" s="50">
        <f t="shared" si="72"/>
        <v>229</v>
      </c>
      <c r="AU55" s="3">
        <f t="shared" si="72"/>
        <v>214</v>
      </c>
      <c r="AV55" s="13">
        <f t="shared" si="72"/>
        <v>0</v>
      </c>
      <c r="AW55" s="50">
        <f t="shared" si="72"/>
        <v>214</v>
      </c>
      <c r="AX55" s="3">
        <f t="shared" si="72"/>
        <v>238</v>
      </c>
      <c r="AY55" s="13">
        <f t="shared" si="72"/>
        <v>0</v>
      </c>
      <c r="AZ55" s="50">
        <f t="shared" si="72"/>
        <v>238</v>
      </c>
      <c r="BA55" s="3">
        <f t="shared" si="72"/>
        <v>893</v>
      </c>
      <c r="BB55" s="13">
        <f t="shared" si="72"/>
        <v>0</v>
      </c>
      <c r="BC55" s="50">
        <f t="shared" si="72"/>
        <v>893</v>
      </c>
      <c r="BD55" s="106"/>
      <c r="BE55" s="3">
        <f t="shared" si="72"/>
        <v>192</v>
      </c>
      <c r="BF55" s="13">
        <f t="shared" si="72"/>
        <v>0</v>
      </c>
      <c r="BG55" s="50">
        <f t="shared" si="72"/>
        <v>192</v>
      </c>
      <c r="BH55" s="3">
        <f t="shared" si="72"/>
        <v>227</v>
      </c>
      <c r="BI55" s="13">
        <f t="shared" si="72"/>
        <v>0</v>
      </c>
      <c r="BJ55" s="50">
        <f t="shared" si="72"/>
        <v>227</v>
      </c>
      <c r="BK55" s="3">
        <f t="shared" si="72"/>
        <v>206</v>
      </c>
      <c r="BL55" s="13">
        <f t="shared" si="72"/>
        <v>0</v>
      </c>
      <c r="BM55" s="50">
        <f t="shared" si="72"/>
        <v>206</v>
      </c>
      <c r="BN55" s="3">
        <f t="shared" si="72"/>
        <v>285</v>
      </c>
      <c r="BO55" s="13">
        <f t="shared" si="72"/>
        <v>0</v>
      </c>
      <c r="BP55" s="50">
        <f t="shared" si="72"/>
        <v>285</v>
      </c>
      <c r="BQ55" s="3">
        <f t="shared" si="72"/>
        <v>910</v>
      </c>
      <c r="BR55" s="13">
        <f t="shared" si="72"/>
        <v>0</v>
      </c>
      <c r="BS55" s="50">
        <f t="shared" si="72"/>
        <v>910</v>
      </c>
      <c r="BT55" s="106"/>
      <c r="BU55" s="3">
        <f aca="true" t="shared" si="73" ref="BU55:CI55">SUM(BU45:BU54)</f>
        <v>224</v>
      </c>
      <c r="BV55" s="13">
        <f t="shared" si="73"/>
        <v>0</v>
      </c>
      <c r="BW55" s="50">
        <f t="shared" si="73"/>
        <v>224</v>
      </c>
      <c r="BX55" s="3">
        <f t="shared" si="73"/>
        <v>0</v>
      </c>
      <c r="BY55" s="13">
        <f t="shared" si="73"/>
        <v>0</v>
      </c>
      <c r="BZ55" s="50">
        <f t="shared" si="73"/>
        <v>0</v>
      </c>
      <c r="CA55" s="3">
        <f t="shared" si="73"/>
        <v>0</v>
      </c>
      <c r="CB55" s="13">
        <f t="shared" si="73"/>
        <v>0</v>
      </c>
      <c r="CC55" s="50">
        <f t="shared" si="73"/>
        <v>0</v>
      </c>
      <c r="CD55" s="3">
        <f t="shared" si="73"/>
        <v>0</v>
      </c>
      <c r="CE55" s="13">
        <f t="shared" si="73"/>
        <v>0</v>
      </c>
      <c r="CF55" s="50">
        <f t="shared" si="73"/>
        <v>0</v>
      </c>
      <c r="CG55" s="3">
        <f t="shared" si="73"/>
        <v>224</v>
      </c>
      <c r="CH55" s="13">
        <f t="shared" si="73"/>
        <v>0</v>
      </c>
      <c r="CI55" s="50">
        <f t="shared" si="73"/>
        <v>224</v>
      </c>
    </row>
    <row r="56" spans="1:87" ht="12.75">
      <c r="A56" s="7" t="s">
        <v>57</v>
      </c>
      <c r="B56" s="106"/>
      <c r="C56" s="17"/>
      <c r="D56" s="106"/>
      <c r="E56" s="94"/>
      <c r="F56" s="106"/>
      <c r="G56" s="94"/>
      <c r="H56" s="106"/>
      <c r="I56" s="17"/>
      <c r="J56" s="14"/>
      <c r="K56" s="49"/>
      <c r="L56" s="17"/>
      <c r="M56" s="14"/>
      <c r="N56" s="49"/>
      <c r="O56" s="17"/>
      <c r="P56" s="14"/>
      <c r="Q56" s="49"/>
      <c r="R56" s="17"/>
      <c r="S56" s="14"/>
      <c r="T56" s="49"/>
      <c r="U56" s="17"/>
      <c r="V56" s="14"/>
      <c r="W56" s="49"/>
      <c r="X56" s="106"/>
      <c r="Y56" s="94"/>
      <c r="Z56" s="14"/>
      <c r="AA56" s="49"/>
      <c r="AB56" s="17"/>
      <c r="AC56" s="14"/>
      <c r="AD56" s="49"/>
      <c r="AE56" s="17"/>
      <c r="AF56" s="14"/>
      <c r="AG56" s="49"/>
      <c r="AH56" s="17"/>
      <c r="AI56" s="14"/>
      <c r="AJ56" s="49"/>
      <c r="AK56" s="17"/>
      <c r="AL56" s="14"/>
      <c r="AM56" s="49"/>
      <c r="AN56" s="106"/>
      <c r="AO56" s="17"/>
      <c r="AP56" s="14"/>
      <c r="AQ56" s="49"/>
      <c r="AR56" s="17"/>
      <c r="AS56" s="14"/>
      <c r="AT56" s="49"/>
      <c r="AU56" s="17"/>
      <c r="AV56" s="14"/>
      <c r="AW56" s="49"/>
      <c r="AX56" s="17"/>
      <c r="AY56" s="14"/>
      <c r="AZ56" s="49"/>
      <c r="BA56" s="17"/>
      <c r="BB56" s="14"/>
      <c r="BC56" s="49"/>
      <c r="BD56" s="106"/>
      <c r="BE56" s="17"/>
      <c r="BF56" s="14"/>
      <c r="BG56" s="49"/>
      <c r="BH56" s="17"/>
      <c r="BI56" s="14"/>
      <c r="BJ56" s="49"/>
      <c r="BK56" s="17"/>
      <c r="BL56" s="14"/>
      <c r="BM56" s="49"/>
      <c r="BN56" s="17"/>
      <c r="BO56" s="14"/>
      <c r="BP56" s="49"/>
      <c r="BQ56" s="17"/>
      <c r="BR56" s="14"/>
      <c r="BS56" s="49"/>
      <c r="BT56" s="106"/>
      <c r="BU56" s="17"/>
      <c r="BV56" s="14"/>
      <c r="BW56" s="49"/>
      <c r="BX56" s="17"/>
      <c r="BY56" s="14"/>
      <c r="BZ56" s="49"/>
      <c r="CA56" s="17"/>
      <c r="CB56" s="14"/>
      <c r="CC56" s="49"/>
      <c r="CD56" s="17"/>
      <c r="CE56" s="14"/>
      <c r="CF56" s="49"/>
      <c r="CG56" s="17"/>
      <c r="CH56" s="14"/>
      <c r="CI56" s="49"/>
    </row>
    <row r="57" spans="1:87" ht="12.75">
      <c r="A57" s="8" t="s">
        <v>24</v>
      </c>
      <c r="B57" s="106"/>
      <c r="C57" s="17">
        <v>62</v>
      </c>
      <c r="D57" s="106"/>
      <c r="E57" s="94">
        <v>123</v>
      </c>
      <c r="F57" s="106"/>
      <c r="G57" s="94">
        <v>276</v>
      </c>
      <c r="H57" s="106"/>
      <c r="I57" s="17">
        <f aca="true" t="shared" si="74" ref="I57:I64">K57-J57</f>
        <v>73</v>
      </c>
      <c r="J57" s="14"/>
      <c r="K57" s="49">
        <v>73</v>
      </c>
      <c r="L57" s="17">
        <f aca="true" t="shared" si="75" ref="L57:L64">N57-M57</f>
        <v>80</v>
      </c>
      <c r="M57" s="14"/>
      <c r="N57" s="49">
        <v>80</v>
      </c>
      <c r="O57" s="17">
        <f aca="true" t="shared" si="76" ref="O57:O64">Q57-P57</f>
        <v>108</v>
      </c>
      <c r="P57" s="14"/>
      <c r="Q57" s="49">
        <v>108</v>
      </c>
      <c r="R57" s="17">
        <f aca="true" t="shared" si="77" ref="R57:R64">T57-S57</f>
        <v>75</v>
      </c>
      <c r="S57" s="14"/>
      <c r="T57" s="49">
        <v>75</v>
      </c>
      <c r="U57" s="17">
        <f aca="true" t="shared" si="78" ref="U57:U64">W57-V57</f>
        <v>336</v>
      </c>
      <c r="V57" s="14"/>
      <c r="W57" s="49">
        <f aca="true" t="shared" si="79" ref="W57:W64">K57+N57+Q57+T57</f>
        <v>336</v>
      </c>
      <c r="X57" s="106"/>
      <c r="Y57" s="94">
        <f aca="true" t="shared" si="80" ref="Y57:Y64">AA57-Z57</f>
        <v>72</v>
      </c>
      <c r="Z57" s="14"/>
      <c r="AA57" s="49">
        <v>72</v>
      </c>
      <c r="AB57" s="17">
        <f aca="true" t="shared" si="81" ref="AB57:AB64">AD57-AC57</f>
        <v>82</v>
      </c>
      <c r="AC57" s="14"/>
      <c r="AD57" s="49">
        <v>82</v>
      </c>
      <c r="AE57" s="17">
        <f aca="true" t="shared" si="82" ref="AE57:AE64">AG57-AF57</f>
        <v>103</v>
      </c>
      <c r="AF57" s="14"/>
      <c r="AG57" s="49">
        <v>103</v>
      </c>
      <c r="AH57" s="17">
        <f aca="true" t="shared" si="83" ref="AH57:AH64">AJ57-AI57</f>
        <v>101</v>
      </c>
      <c r="AI57" s="14"/>
      <c r="AJ57" s="49">
        <v>101</v>
      </c>
      <c r="AK57" s="17">
        <f aca="true" t="shared" si="84" ref="AK57:AK64">AM57-AL57</f>
        <v>358</v>
      </c>
      <c r="AL57" s="14"/>
      <c r="AM57" s="49">
        <f aca="true" t="shared" si="85" ref="AL57:AM64">AA57+AD57+AG57+AJ57</f>
        <v>358</v>
      </c>
      <c r="AN57" s="106"/>
      <c r="AO57" s="17">
        <f aca="true" t="shared" si="86" ref="AO57:AO64">AQ57-AP57</f>
        <v>93</v>
      </c>
      <c r="AP57" s="14"/>
      <c r="AQ57" s="49">
        <v>93</v>
      </c>
      <c r="AR57" s="17">
        <f aca="true" t="shared" si="87" ref="AR57:AR64">AT57-AS57</f>
        <v>117</v>
      </c>
      <c r="AS57" s="14"/>
      <c r="AT57" s="49">
        <f>210-93</f>
        <v>117</v>
      </c>
      <c r="AU57" s="17">
        <f aca="true" t="shared" si="88" ref="AU57:AU64">AW57-AV57</f>
        <v>135</v>
      </c>
      <c r="AV57" s="14"/>
      <c r="AW57" s="49">
        <f>345-117-93</f>
        <v>135</v>
      </c>
      <c r="AX57" s="17">
        <f aca="true" t="shared" si="89" ref="AX57:AX64">AZ57-AY57</f>
        <v>120</v>
      </c>
      <c r="AY57" s="14"/>
      <c r="AZ57" s="49">
        <f>465-345</f>
        <v>120</v>
      </c>
      <c r="BA57" s="17">
        <f aca="true" t="shared" si="90" ref="BA57:BA64">BC57-BB57</f>
        <v>465</v>
      </c>
      <c r="BB57" s="14"/>
      <c r="BC57" s="49">
        <f aca="true" t="shared" si="91" ref="BB57:BC64">AQ57+AT57+AW57+AZ57</f>
        <v>465</v>
      </c>
      <c r="BD57" s="106"/>
      <c r="BE57" s="17">
        <f aca="true" t="shared" si="92" ref="BE57:BE64">BG57-BF57</f>
        <v>116</v>
      </c>
      <c r="BF57" s="14"/>
      <c r="BG57" s="49">
        <v>116</v>
      </c>
      <c r="BH57" s="17">
        <f aca="true" t="shared" si="93" ref="BH57:BH64">BJ57-BI57</f>
        <v>116</v>
      </c>
      <c r="BI57" s="14"/>
      <c r="BJ57" s="49">
        <f>232-116</f>
        <v>116</v>
      </c>
      <c r="BK57" s="17">
        <f aca="true" t="shared" si="94" ref="BK57:BK64">BM57-BL57</f>
        <v>133</v>
      </c>
      <c r="BL57" s="14"/>
      <c r="BM57" s="49">
        <f>340-232+25</f>
        <v>133</v>
      </c>
      <c r="BN57" s="17">
        <f aca="true" t="shared" si="95" ref="BN57:BN64">BP57-BO57</f>
        <v>108</v>
      </c>
      <c r="BO57" s="14"/>
      <c r="BP57" s="49">
        <f>473-365</f>
        <v>108</v>
      </c>
      <c r="BQ57" s="17">
        <f aca="true" t="shared" si="96" ref="BQ57:BQ64">BS57-BR57</f>
        <v>473</v>
      </c>
      <c r="BR57" s="14"/>
      <c r="BS57" s="49">
        <f aca="true" t="shared" si="97" ref="BR57:BS64">BG57+BJ57+BM57+BP57</f>
        <v>473</v>
      </c>
      <c r="BT57" s="106"/>
      <c r="BU57" s="17">
        <f aca="true" t="shared" si="98" ref="BU57:BU64">BW57-BV57</f>
        <v>101</v>
      </c>
      <c r="BV57" s="14"/>
      <c r="BW57" s="49">
        <v>101</v>
      </c>
      <c r="BX57" s="17">
        <f aca="true" t="shared" si="99" ref="BX57:BX64">BZ57-BY57</f>
        <v>0</v>
      </c>
      <c r="BY57" s="14"/>
      <c r="BZ57" s="49"/>
      <c r="CA57" s="17">
        <f aca="true" t="shared" si="100" ref="CA57:CA64">CC57-CB57</f>
        <v>0</v>
      </c>
      <c r="CB57" s="14"/>
      <c r="CC57" s="49"/>
      <c r="CD57" s="17">
        <f aca="true" t="shared" si="101" ref="CD57:CD64">CF57-CE57</f>
        <v>0</v>
      </c>
      <c r="CE57" s="14"/>
      <c r="CF57" s="49"/>
      <c r="CG57" s="17">
        <f aca="true" t="shared" si="102" ref="CG57:CG64">CI57-CH57</f>
        <v>101</v>
      </c>
      <c r="CH57" s="14"/>
      <c r="CI57" s="49">
        <f aca="true" t="shared" si="103" ref="CI57:CI64">BW57+BZ57+CC57+CF57</f>
        <v>101</v>
      </c>
    </row>
    <row r="58" spans="1:87" ht="12.75">
      <c r="A58" s="8" t="s">
        <v>25</v>
      </c>
      <c r="B58" s="106"/>
      <c r="C58" s="17">
        <v>32</v>
      </c>
      <c r="D58" s="106"/>
      <c r="E58" s="94">
        <v>64</v>
      </c>
      <c r="F58" s="106"/>
      <c r="G58" s="94">
        <v>70</v>
      </c>
      <c r="H58" s="106"/>
      <c r="I58" s="17">
        <f t="shared" si="74"/>
        <v>16</v>
      </c>
      <c r="J58" s="14"/>
      <c r="K58" s="49">
        <v>16</v>
      </c>
      <c r="L58" s="17">
        <f t="shared" si="75"/>
        <v>19</v>
      </c>
      <c r="M58" s="14"/>
      <c r="N58" s="49">
        <v>19</v>
      </c>
      <c r="O58" s="17">
        <f t="shared" si="76"/>
        <v>24</v>
      </c>
      <c r="P58" s="14"/>
      <c r="Q58" s="49">
        <v>24</v>
      </c>
      <c r="R58" s="17">
        <f t="shared" si="77"/>
        <v>14</v>
      </c>
      <c r="S58" s="14"/>
      <c r="T58" s="49">
        <v>14</v>
      </c>
      <c r="U58" s="17">
        <f t="shared" si="78"/>
        <v>73</v>
      </c>
      <c r="V58" s="14"/>
      <c r="W58" s="49">
        <f t="shared" si="79"/>
        <v>73</v>
      </c>
      <c r="X58" s="106"/>
      <c r="Y58" s="94">
        <f t="shared" si="80"/>
        <v>14</v>
      </c>
      <c r="Z58" s="14"/>
      <c r="AA58" s="49">
        <v>14</v>
      </c>
      <c r="AB58" s="17">
        <f t="shared" si="81"/>
        <v>21</v>
      </c>
      <c r="AC58" s="14"/>
      <c r="AD58" s="49">
        <v>21</v>
      </c>
      <c r="AE58" s="17">
        <f t="shared" si="82"/>
        <v>24</v>
      </c>
      <c r="AF58" s="14"/>
      <c r="AG58" s="49">
        <v>24</v>
      </c>
      <c r="AH58" s="17">
        <f t="shared" si="83"/>
        <v>23</v>
      </c>
      <c r="AI58" s="14"/>
      <c r="AJ58" s="49">
        <v>23</v>
      </c>
      <c r="AK58" s="17">
        <f t="shared" si="84"/>
        <v>82</v>
      </c>
      <c r="AL58" s="14"/>
      <c r="AM58" s="49">
        <f t="shared" si="85"/>
        <v>82</v>
      </c>
      <c r="AN58" s="106"/>
      <c r="AO58" s="17">
        <f t="shared" si="86"/>
        <v>18</v>
      </c>
      <c r="AP58" s="14"/>
      <c r="AQ58" s="49">
        <v>18</v>
      </c>
      <c r="AR58" s="17">
        <f t="shared" si="87"/>
        <v>21</v>
      </c>
      <c r="AS58" s="14"/>
      <c r="AT58" s="49">
        <f>39-18</f>
        <v>21</v>
      </c>
      <c r="AU58" s="17">
        <f t="shared" si="88"/>
        <v>25</v>
      </c>
      <c r="AV58" s="14"/>
      <c r="AW58" s="49">
        <f>64-21-18</f>
        <v>25</v>
      </c>
      <c r="AX58" s="17">
        <f t="shared" si="89"/>
        <v>20</v>
      </c>
      <c r="AY58" s="14"/>
      <c r="AZ58" s="49">
        <f>84-64</f>
        <v>20</v>
      </c>
      <c r="BA58" s="17">
        <f t="shared" si="90"/>
        <v>84</v>
      </c>
      <c r="BB58" s="14"/>
      <c r="BC58" s="49">
        <f t="shared" si="91"/>
        <v>84</v>
      </c>
      <c r="BD58" s="106"/>
      <c r="BE58" s="17">
        <f t="shared" si="92"/>
        <v>20</v>
      </c>
      <c r="BF58" s="14"/>
      <c r="BG58" s="49">
        <v>20</v>
      </c>
      <c r="BH58" s="17">
        <f t="shared" si="93"/>
        <v>20</v>
      </c>
      <c r="BI58" s="14"/>
      <c r="BJ58" s="49">
        <f>40-20</f>
        <v>20</v>
      </c>
      <c r="BK58" s="17">
        <f t="shared" si="94"/>
        <v>28</v>
      </c>
      <c r="BL58" s="14"/>
      <c r="BM58" s="49">
        <f>93-40-25</f>
        <v>28</v>
      </c>
      <c r="BN58" s="17">
        <f t="shared" si="95"/>
        <v>17</v>
      </c>
      <c r="BO58" s="14"/>
      <c r="BP58" s="49">
        <f>85-68</f>
        <v>17</v>
      </c>
      <c r="BQ58" s="17">
        <f t="shared" si="96"/>
        <v>85</v>
      </c>
      <c r="BR58" s="14"/>
      <c r="BS58" s="49">
        <f t="shared" si="97"/>
        <v>85</v>
      </c>
      <c r="BT58" s="106"/>
      <c r="BU58" s="17">
        <f t="shared" si="98"/>
        <v>19</v>
      </c>
      <c r="BV58" s="14"/>
      <c r="BW58" s="49">
        <v>19</v>
      </c>
      <c r="BX58" s="17">
        <f t="shared" si="99"/>
        <v>0</v>
      </c>
      <c r="BY58" s="14"/>
      <c r="BZ58" s="49"/>
      <c r="CA58" s="17">
        <f t="shared" si="100"/>
        <v>0</v>
      </c>
      <c r="CB58" s="14"/>
      <c r="CC58" s="49"/>
      <c r="CD58" s="17">
        <f t="shared" si="101"/>
        <v>0</v>
      </c>
      <c r="CE58" s="14"/>
      <c r="CF58" s="49"/>
      <c r="CG58" s="17">
        <f t="shared" si="102"/>
        <v>19</v>
      </c>
      <c r="CH58" s="14"/>
      <c r="CI58" s="49">
        <f t="shared" si="103"/>
        <v>19</v>
      </c>
    </row>
    <row r="59" spans="1:87" ht="12.75">
      <c r="A59" s="8" t="s">
        <v>26</v>
      </c>
      <c r="B59" s="106"/>
      <c r="C59" s="17">
        <v>1</v>
      </c>
      <c r="D59" s="106"/>
      <c r="E59" s="94">
        <v>1</v>
      </c>
      <c r="F59" s="106"/>
      <c r="G59" s="94">
        <v>16</v>
      </c>
      <c r="H59" s="106"/>
      <c r="I59" s="17">
        <f t="shared" si="74"/>
        <v>11</v>
      </c>
      <c r="J59" s="14"/>
      <c r="K59" s="49">
        <v>11</v>
      </c>
      <c r="L59" s="17">
        <f t="shared" si="75"/>
        <v>13</v>
      </c>
      <c r="M59" s="14"/>
      <c r="N59" s="49">
        <v>13</v>
      </c>
      <c r="O59" s="17">
        <f t="shared" si="76"/>
        <v>15</v>
      </c>
      <c r="P59" s="14"/>
      <c r="Q59" s="49">
        <v>15</v>
      </c>
      <c r="R59" s="17">
        <f t="shared" si="77"/>
        <v>11</v>
      </c>
      <c r="S59" s="14"/>
      <c r="T59" s="49">
        <v>11</v>
      </c>
      <c r="U59" s="17">
        <f t="shared" si="78"/>
        <v>50</v>
      </c>
      <c r="V59" s="14"/>
      <c r="W59" s="49">
        <f t="shared" si="79"/>
        <v>50</v>
      </c>
      <c r="X59" s="106"/>
      <c r="Y59" s="94">
        <f t="shared" si="80"/>
        <v>11</v>
      </c>
      <c r="Z59" s="14"/>
      <c r="AA59" s="49">
        <v>11</v>
      </c>
      <c r="AB59" s="17">
        <f t="shared" si="81"/>
        <v>14</v>
      </c>
      <c r="AC59" s="14"/>
      <c r="AD59" s="49">
        <v>14</v>
      </c>
      <c r="AE59" s="17">
        <f t="shared" si="82"/>
        <v>18</v>
      </c>
      <c r="AF59" s="14"/>
      <c r="AG59" s="49">
        <v>18</v>
      </c>
      <c r="AH59" s="17">
        <f t="shared" si="83"/>
        <v>17</v>
      </c>
      <c r="AI59" s="14"/>
      <c r="AJ59" s="49">
        <v>17</v>
      </c>
      <c r="AK59" s="17">
        <f t="shared" si="84"/>
        <v>60</v>
      </c>
      <c r="AL59" s="14"/>
      <c r="AM59" s="49">
        <f t="shared" si="85"/>
        <v>60</v>
      </c>
      <c r="AN59" s="106"/>
      <c r="AO59" s="17">
        <f t="shared" si="86"/>
        <v>19</v>
      </c>
      <c r="AP59" s="14"/>
      <c r="AQ59" s="49">
        <v>19</v>
      </c>
      <c r="AR59" s="17">
        <f t="shared" si="87"/>
        <v>23</v>
      </c>
      <c r="AS59" s="14"/>
      <c r="AT59" s="49">
        <f>42-19</f>
        <v>23</v>
      </c>
      <c r="AU59" s="17">
        <f t="shared" si="88"/>
        <v>31</v>
      </c>
      <c r="AV59" s="14"/>
      <c r="AW59" s="49">
        <f>73-23-19</f>
        <v>31</v>
      </c>
      <c r="AX59" s="17">
        <f t="shared" si="89"/>
        <v>25</v>
      </c>
      <c r="AY59" s="14"/>
      <c r="AZ59" s="49">
        <f>98-73</f>
        <v>25</v>
      </c>
      <c r="BA59" s="17">
        <f t="shared" si="90"/>
        <v>98</v>
      </c>
      <c r="BB59" s="14"/>
      <c r="BC59" s="49">
        <f t="shared" si="91"/>
        <v>98</v>
      </c>
      <c r="BD59" s="106"/>
      <c r="BE59" s="17">
        <f t="shared" si="92"/>
        <v>26</v>
      </c>
      <c r="BF59" s="14"/>
      <c r="BG59" s="49">
        <v>26</v>
      </c>
      <c r="BH59" s="17">
        <f t="shared" si="93"/>
        <v>28</v>
      </c>
      <c r="BI59" s="14"/>
      <c r="BJ59" s="49">
        <f>54-26</f>
        <v>28</v>
      </c>
      <c r="BK59" s="17">
        <f t="shared" si="94"/>
        <v>29</v>
      </c>
      <c r="BL59" s="14"/>
      <c r="BM59" s="49">
        <f>83-54</f>
        <v>29</v>
      </c>
      <c r="BN59" s="17">
        <f t="shared" si="95"/>
        <v>25</v>
      </c>
      <c r="BO59" s="14"/>
      <c r="BP59" s="49">
        <f>108-83</f>
        <v>25</v>
      </c>
      <c r="BQ59" s="17">
        <f t="shared" si="96"/>
        <v>108</v>
      </c>
      <c r="BR59" s="14"/>
      <c r="BS59" s="49">
        <f t="shared" si="97"/>
        <v>108</v>
      </c>
      <c r="BT59" s="106"/>
      <c r="BU59" s="17">
        <f t="shared" si="98"/>
        <v>30</v>
      </c>
      <c r="BV59" s="14"/>
      <c r="BW59" s="49">
        <v>30</v>
      </c>
      <c r="BX59" s="17">
        <f t="shared" si="99"/>
        <v>0</v>
      </c>
      <c r="BY59" s="14"/>
      <c r="BZ59" s="49"/>
      <c r="CA59" s="17">
        <f t="shared" si="100"/>
        <v>0</v>
      </c>
      <c r="CB59" s="14"/>
      <c r="CC59" s="49"/>
      <c r="CD59" s="17">
        <f t="shared" si="101"/>
        <v>0</v>
      </c>
      <c r="CE59" s="14"/>
      <c r="CF59" s="49"/>
      <c r="CG59" s="17">
        <f t="shared" si="102"/>
        <v>30</v>
      </c>
      <c r="CH59" s="14"/>
      <c r="CI59" s="49">
        <f t="shared" si="103"/>
        <v>30</v>
      </c>
    </row>
    <row r="60" spans="1:87" ht="12.75">
      <c r="A60" s="8" t="s">
        <v>27</v>
      </c>
      <c r="B60" s="106"/>
      <c r="C60" s="17">
        <v>52</v>
      </c>
      <c r="D60" s="106"/>
      <c r="E60" s="94">
        <v>62</v>
      </c>
      <c r="F60" s="106"/>
      <c r="G60" s="94">
        <v>84</v>
      </c>
      <c r="H60" s="106"/>
      <c r="I60" s="17">
        <f t="shared" si="74"/>
        <v>18</v>
      </c>
      <c r="J60" s="14"/>
      <c r="K60" s="49">
        <v>18</v>
      </c>
      <c r="L60" s="17">
        <f t="shared" si="75"/>
        <v>23</v>
      </c>
      <c r="M60" s="14"/>
      <c r="N60" s="49">
        <v>23</v>
      </c>
      <c r="O60" s="17">
        <f t="shared" si="76"/>
        <v>34</v>
      </c>
      <c r="P60" s="14"/>
      <c r="Q60" s="49">
        <v>34</v>
      </c>
      <c r="R60" s="17">
        <f t="shared" si="77"/>
        <v>40</v>
      </c>
      <c r="S60" s="14"/>
      <c r="T60" s="49">
        <v>40</v>
      </c>
      <c r="U60" s="17">
        <f t="shared" si="78"/>
        <v>115</v>
      </c>
      <c r="V60" s="14"/>
      <c r="W60" s="49">
        <f t="shared" si="79"/>
        <v>115</v>
      </c>
      <c r="X60" s="106"/>
      <c r="Y60" s="94">
        <f t="shared" si="80"/>
        <v>37</v>
      </c>
      <c r="Z60" s="14"/>
      <c r="AA60" s="49">
        <v>37</v>
      </c>
      <c r="AB60" s="17">
        <f t="shared" si="81"/>
        <v>46</v>
      </c>
      <c r="AC60" s="14"/>
      <c r="AD60" s="49">
        <v>46</v>
      </c>
      <c r="AE60" s="17">
        <f t="shared" si="82"/>
        <v>46</v>
      </c>
      <c r="AF60" s="14"/>
      <c r="AG60" s="49">
        <v>46</v>
      </c>
      <c r="AH60" s="17">
        <f t="shared" si="83"/>
        <v>42</v>
      </c>
      <c r="AI60" s="14"/>
      <c r="AJ60" s="49">
        <v>42</v>
      </c>
      <c r="AK60" s="17">
        <f t="shared" si="84"/>
        <v>171</v>
      </c>
      <c r="AL60" s="14"/>
      <c r="AM60" s="49">
        <f t="shared" si="85"/>
        <v>171</v>
      </c>
      <c r="AN60" s="106"/>
      <c r="AO60" s="17">
        <f t="shared" si="86"/>
        <v>43</v>
      </c>
      <c r="AP60" s="14"/>
      <c r="AQ60" s="49">
        <v>43</v>
      </c>
      <c r="AR60" s="17">
        <f t="shared" si="87"/>
        <v>55</v>
      </c>
      <c r="AS60" s="14"/>
      <c r="AT60" s="49">
        <f>98-43</f>
        <v>55</v>
      </c>
      <c r="AU60" s="17">
        <f t="shared" si="88"/>
        <v>66</v>
      </c>
      <c r="AV60" s="14"/>
      <c r="AW60" s="49">
        <f>164-55-43</f>
        <v>66</v>
      </c>
      <c r="AX60" s="17">
        <f t="shared" si="89"/>
        <v>64</v>
      </c>
      <c r="AY60" s="14"/>
      <c r="AZ60" s="49">
        <f>228-164</f>
        <v>64</v>
      </c>
      <c r="BA60" s="17">
        <f t="shared" si="90"/>
        <v>228</v>
      </c>
      <c r="BB60" s="14"/>
      <c r="BC60" s="49">
        <f t="shared" si="91"/>
        <v>228</v>
      </c>
      <c r="BD60" s="106"/>
      <c r="BE60" s="17">
        <f t="shared" si="92"/>
        <v>57</v>
      </c>
      <c r="BF60" s="14"/>
      <c r="BG60" s="49">
        <v>57</v>
      </c>
      <c r="BH60" s="17">
        <f t="shared" si="93"/>
        <v>62</v>
      </c>
      <c r="BI60" s="14"/>
      <c r="BJ60" s="49">
        <f>119-57</f>
        <v>62</v>
      </c>
      <c r="BK60" s="17">
        <f t="shared" si="94"/>
        <v>62</v>
      </c>
      <c r="BL60" s="14"/>
      <c r="BM60" s="49">
        <f>181-119</f>
        <v>62</v>
      </c>
      <c r="BN60" s="17">
        <f t="shared" si="95"/>
        <v>55</v>
      </c>
      <c r="BO60" s="14"/>
      <c r="BP60" s="49">
        <f>236-181</f>
        <v>55</v>
      </c>
      <c r="BQ60" s="17">
        <f t="shared" si="96"/>
        <v>236</v>
      </c>
      <c r="BR60" s="14"/>
      <c r="BS60" s="49">
        <f t="shared" si="97"/>
        <v>236</v>
      </c>
      <c r="BT60" s="106"/>
      <c r="BU60" s="17">
        <f t="shared" si="98"/>
        <v>53</v>
      </c>
      <c r="BV60" s="14"/>
      <c r="BW60" s="49">
        <v>53</v>
      </c>
      <c r="BX60" s="17">
        <f t="shared" si="99"/>
        <v>0</v>
      </c>
      <c r="BY60" s="14"/>
      <c r="BZ60" s="49"/>
      <c r="CA60" s="17">
        <f t="shared" si="100"/>
        <v>0</v>
      </c>
      <c r="CB60" s="14"/>
      <c r="CC60" s="49"/>
      <c r="CD60" s="17">
        <f t="shared" si="101"/>
        <v>0</v>
      </c>
      <c r="CE60" s="14"/>
      <c r="CF60" s="49"/>
      <c r="CG60" s="17">
        <f t="shared" si="102"/>
        <v>53</v>
      </c>
      <c r="CH60" s="14"/>
      <c r="CI60" s="49">
        <f t="shared" si="103"/>
        <v>53</v>
      </c>
    </row>
    <row r="61" spans="1:87" ht="12.75">
      <c r="A61" s="8" t="s">
        <v>28</v>
      </c>
      <c r="B61" s="106"/>
      <c r="C61" s="17">
        <v>0</v>
      </c>
      <c r="D61" s="106"/>
      <c r="E61" s="94">
        <v>0</v>
      </c>
      <c r="F61" s="106"/>
      <c r="G61" s="94">
        <v>0</v>
      </c>
      <c r="H61" s="106"/>
      <c r="I61" s="17">
        <f t="shared" si="74"/>
        <v>8</v>
      </c>
      <c r="J61" s="14">
        <v>4</v>
      </c>
      <c r="K61" s="49">
        <v>12</v>
      </c>
      <c r="L61" s="17">
        <f t="shared" si="75"/>
        <v>16</v>
      </c>
      <c r="M61" s="14">
        <v>10</v>
      </c>
      <c r="N61" s="49">
        <v>26</v>
      </c>
      <c r="O61" s="17">
        <f t="shared" si="76"/>
        <v>27</v>
      </c>
      <c r="P61" s="14">
        <v>27</v>
      </c>
      <c r="Q61" s="49">
        <v>54</v>
      </c>
      <c r="R61" s="17">
        <f t="shared" si="77"/>
        <v>41</v>
      </c>
      <c r="S61" s="14">
        <v>17</v>
      </c>
      <c r="T61" s="49">
        <v>58</v>
      </c>
      <c r="U61" s="17">
        <f t="shared" si="78"/>
        <v>92</v>
      </c>
      <c r="V61" s="14">
        <f>J61+M61+P61+S61</f>
        <v>58</v>
      </c>
      <c r="W61" s="49">
        <f t="shared" si="79"/>
        <v>150</v>
      </c>
      <c r="X61" s="106"/>
      <c r="Y61" s="94">
        <f t="shared" si="80"/>
        <v>44</v>
      </c>
      <c r="Z61" s="14">
        <v>20</v>
      </c>
      <c r="AA61" s="49">
        <v>64</v>
      </c>
      <c r="AB61" s="17">
        <f t="shared" si="81"/>
        <v>65</v>
      </c>
      <c r="AC61" s="14">
        <v>27</v>
      </c>
      <c r="AD61" s="49">
        <v>92</v>
      </c>
      <c r="AE61" s="17">
        <f t="shared" si="82"/>
        <v>100</v>
      </c>
      <c r="AF61" s="14">
        <v>27</v>
      </c>
      <c r="AG61" s="49">
        <v>127</v>
      </c>
      <c r="AH61" s="17">
        <f t="shared" si="83"/>
        <v>93</v>
      </c>
      <c r="AI61" s="14">
        <v>20</v>
      </c>
      <c r="AJ61" s="49">
        <v>113</v>
      </c>
      <c r="AK61" s="17">
        <f t="shared" si="84"/>
        <v>302</v>
      </c>
      <c r="AL61" s="14">
        <f t="shared" si="85"/>
        <v>94</v>
      </c>
      <c r="AM61" s="49">
        <f t="shared" si="85"/>
        <v>396</v>
      </c>
      <c r="AN61" s="106"/>
      <c r="AO61" s="17">
        <f t="shared" si="86"/>
        <v>124</v>
      </c>
      <c r="AP61" s="86">
        <v>38</v>
      </c>
      <c r="AQ61" s="49">
        <v>162</v>
      </c>
      <c r="AR61" s="17">
        <f t="shared" si="87"/>
        <v>98</v>
      </c>
      <c r="AS61" s="86">
        <v>68</v>
      </c>
      <c r="AT61" s="49">
        <f>328-162</f>
        <v>166</v>
      </c>
      <c r="AU61" s="17">
        <f t="shared" si="88"/>
        <v>111</v>
      </c>
      <c r="AV61" s="86">
        <f>119-37</f>
        <v>82</v>
      </c>
      <c r="AW61" s="49">
        <f>521-166-162</f>
        <v>193</v>
      </c>
      <c r="AX61" s="17">
        <f t="shared" si="89"/>
        <v>146</v>
      </c>
      <c r="AY61" s="14">
        <f>109-40</f>
        <v>69</v>
      </c>
      <c r="AZ61" s="49">
        <f>736-521</f>
        <v>215</v>
      </c>
      <c r="BA61" s="17">
        <f t="shared" si="90"/>
        <v>479</v>
      </c>
      <c r="BB61" s="14">
        <f t="shared" si="91"/>
        <v>257</v>
      </c>
      <c r="BC61" s="49">
        <f t="shared" si="91"/>
        <v>736</v>
      </c>
      <c r="BD61" s="106"/>
      <c r="BE61" s="17">
        <f t="shared" si="92"/>
        <v>86</v>
      </c>
      <c r="BF61" s="14">
        <f>98-25</f>
        <v>73</v>
      </c>
      <c r="BG61" s="49">
        <v>159</v>
      </c>
      <c r="BH61" s="17">
        <f t="shared" si="93"/>
        <v>84</v>
      </c>
      <c r="BI61" s="14">
        <v>86</v>
      </c>
      <c r="BJ61" s="49">
        <f>329-159</f>
        <v>170</v>
      </c>
      <c r="BK61" s="17">
        <f t="shared" si="94"/>
        <v>101</v>
      </c>
      <c r="BL61" s="14">
        <v>62</v>
      </c>
      <c r="BM61" s="49">
        <f>311-329+181</f>
        <v>163</v>
      </c>
      <c r="BN61" s="17">
        <f t="shared" si="95"/>
        <v>80</v>
      </c>
      <c r="BO61" s="14">
        <v>25</v>
      </c>
      <c r="BP61" s="49">
        <v>105</v>
      </c>
      <c r="BQ61" s="17">
        <f t="shared" si="96"/>
        <v>351</v>
      </c>
      <c r="BR61" s="14">
        <f t="shared" si="97"/>
        <v>246</v>
      </c>
      <c r="BS61" s="49">
        <f t="shared" si="97"/>
        <v>597</v>
      </c>
      <c r="BT61" s="106"/>
      <c r="BU61" s="17">
        <f t="shared" si="98"/>
        <v>84</v>
      </c>
      <c r="BV61" s="14">
        <v>2</v>
      </c>
      <c r="BW61" s="49">
        <v>86</v>
      </c>
      <c r="BX61" s="17">
        <f t="shared" si="99"/>
        <v>0</v>
      </c>
      <c r="BY61" s="14"/>
      <c r="BZ61" s="49"/>
      <c r="CA61" s="17">
        <f t="shared" si="100"/>
        <v>0</v>
      </c>
      <c r="CB61" s="14"/>
      <c r="CC61" s="49"/>
      <c r="CD61" s="17">
        <f t="shared" si="101"/>
        <v>0</v>
      </c>
      <c r="CE61" s="14"/>
      <c r="CF61" s="49"/>
      <c r="CG61" s="17">
        <f t="shared" si="102"/>
        <v>84</v>
      </c>
      <c r="CH61" s="14">
        <f>BV61+BY61+CB61+CE61</f>
        <v>2</v>
      </c>
      <c r="CI61" s="49">
        <f t="shared" si="103"/>
        <v>86</v>
      </c>
    </row>
    <row r="62" spans="1:87" ht="12.75">
      <c r="A62" s="8" t="s">
        <v>29</v>
      </c>
      <c r="B62" s="106"/>
      <c r="C62" s="17">
        <f>E62-D62</f>
        <v>0</v>
      </c>
      <c r="D62" s="106"/>
      <c r="E62" s="94">
        <f>G62-F62</f>
        <v>0</v>
      </c>
      <c r="F62" s="106"/>
      <c r="G62" s="94">
        <f>I62-H62</f>
        <v>0</v>
      </c>
      <c r="H62" s="106"/>
      <c r="I62" s="17">
        <f t="shared" si="74"/>
        <v>0</v>
      </c>
      <c r="J62" s="14">
        <v>10</v>
      </c>
      <c r="K62" s="49">
        <v>10</v>
      </c>
      <c r="L62" s="17">
        <f t="shared" si="75"/>
        <v>0</v>
      </c>
      <c r="M62" s="14">
        <v>24</v>
      </c>
      <c r="N62" s="49">
        <v>24</v>
      </c>
      <c r="O62" s="17">
        <f t="shared" si="76"/>
        <v>0</v>
      </c>
      <c r="P62" s="14">
        <v>27</v>
      </c>
      <c r="Q62" s="49">
        <v>27</v>
      </c>
      <c r="R62" s="17">
        <f t="shared" si="77"/>
        <v>0</v>
      </c>
      <c r="S62" s="14">
        <v>29</v>
      </c>
      <c r="T62" s="49">
        <v>29</v>
      </c>
      <c r="U62" s="17">
        <f t="shared" si="78"/>
        <v>0</v>
      </c>
      <c r="V62" s="14">
        <f>J62+M62+P62+S62</f>
        <v>90</v>
      </c>
      <c r="W62" s="49">
        <f t="shared" si="79"/>
        <v>90</v>
      </c>
      <c r="X62" s="106"/>
      <c r="Y62" s="94">
        <f t="shared" si="80"/>
        <v>0</v>
      </c>
      <c r="Z62" s="14">
        <v>26</v>
      </c>
      <c r="AA62" s="49">
        <v>26</v>
      </c>
      <c r="AB62" s="17">
        <f t="shared" si="81"/>
        <v>0</v>
      </c>
      <c r="AC62" s="14">
        <v>34</v>
      </c>
      <c r="AD62" s="49">
        <v>34</v>
      </c>
      <c r="AE62" s="17">
        <f t="shared" si="82"/>
        <v>0</v>
      </c>
      <c r="AF62" s="14">
        <v>37</v>
      </c>
      <c r="AG62" s="49">
        <v>37</v>
      </c>
      <c r="AH62" s="17">
        <f t="shared" si="83"/>
        <v>0</v>
      </c>
      <c r="AI62" s="14">
        <v>28</v>
      </c>
      <c r="AJ62" s="49">
        <v>28</v>
      </c>
      <c r="AK62" s="17">
        <f t="shared" si="84"/>
        <v>0</v>
      </c>
      <c r="AL62" s="14">
        <f t="shared" si="85"/>
        <v>125</v>
      </c>
      <c r="AM62" s="49">
        <f t="shared" si="85"/>
        <v>125</v>
      </c>
      <c r="AN62" s="106"/>
      <c r="AO62" s="17">
        <f t="shared" si="86"/>
        <v>0</v>
      </c>
      <c r="AP62" s="86">
        <v>30</v>
      </c>
      <c r="AQ62" s="49">
        <v>30</v>
      </c>
      <c r="AR62" s="17">
        <f t="shared" si="87"/>
        <v>0</v>
      </c>
      <c r="AS62" s="86">
        <v>30</v>
      </c>
      <c r="AT62" s="49">
        <f>60-30</f>
        <v>30</v>
      </c>
      <c r="AU62" s="17">
        <f t="shared" si="88"/>
        <v>0</v>
      </c>
      <c r="AV62" s="86">
        <v>37</v>
      </c>
      <c r="AW62" s="49">
        <f>97-30-30</f>
        <v>37</v>
      </c>
      <c r="AX62" s="17">
        <f t="shared" si="89"/>
        <v>0</v>
      </c>
      <c r="AY62" s="14">
        <v>40</v>
      </c>
      <c r="AZ62" s="49">
        <f>137-97</f>
        <v>40</v>
      </c>
      <c r="BA62" s="17">
        <f t="shared" si="90"/>
        <v>0</v>
      </c>
      <c r="BB62" s="14">
        <f t="shared" si="91"/>
        <v>137</v>
      </c>
      <c r="BC62" s="49">
        <f t="shared" si="91"/>
        <v>137</v>
      </c>
      <c r="BD62" s="106"/>
      <c r="BE62" s="17">
        <f t="shared" si="92"/>
        <v>0</v>
      </c>
      <c r="BF62" s="14">
        <v>25</v>
      </c>
      <c r="BG62" s="49">
        <v>25</v>
      </c>
      <c r="BH62" s="17">
        <f t="shared" si="93"/>
        <v>0</v>
      </c>
      <c r="BI62" s="14">
        <v>26</v>
      </c>
      <c r="BJ62" s="49">
        <f>51-25</f>
        <v>26</v>
      </c>
      <c r="BK62" s="17">
        <f t="shared" si="94"/>
        <v>0</v>
      </c>
      <c r="BL62" s="14">
        <v>25</v>
      </c>
      <c r="BM62" s="49">
        <f>0-51+76</f>
        <v>25</v>
      </c>
      <c r="BN62" s="17">
        <f t="shared" si="95"/>
        <v>0</v>
      </c>
      <c r="BO62" s="14">
        <v>10</v>
      </c>
      <c r="BP62" s="49">
        <v>10</v>
      </c>
      <c r="BQ62" s="17">
        <f t="shared" si="96"/>
        <v>0</v>
      </c>
      <c r="BR62" s="14">
        <f t="shared" si="97"/>
        <v>86</v>
      </c>
      <c r="BS62" s="49">
        <f t="shared" si="97"/>
        <v>86</v>
      </c>
      <c r="BT62" s="106"/>
      <c r="BU62" s="17">
        <f t="shared" si="98"/>
        <v>0</v>
      </c>
      <c r="BV62" s="14">
        <v>5</v>
      </c>
      <c r="BW62" s="49">
        <v>5</v>
      </c>
      <c r="BX62" s="17">
        <f t="shared" si="99"/>
        <v>0</v>
      </c>
      <c r="BY62" s="14"/>
      <c r="BZ62" s="49"/>
      <c r="CA62" s="17">
        <f t="shared" si="100"/>
        <v>0</v>
      </c>
      <c r="CB62" s="14"/>
      <c r="CC62" s="49"/>
      <c r="CD62" s="17">
        <f t="shared" si="101"/>
        <v>0</v>
      </c>
      <c r="CE62" s="14"/>
      <c r="CF62" s="49"/>
      <c r="CG62" s="17">
        <f t="shared" si="102"/>
        <v>0</v>
      </c>
      <c r="CH62" s="14">
        <f>BV62+BY62+CB62+CE62</f>
        <v>5</v>
      </c>
      <c r="CI62" s="49">
        <f t="shared" si="103"/>
        <v>5</v>
      </c>
    </row>
    <row r="63" spans="1:87" ht="12.75">
      <c r="A63" s="8" t="s">
        <v>55</v>
      </c>
      <c r="B63" s="106"/>
      <c r="C63" s="17">
        <v>14</v>
      </c>
      <c r="D63" s="106"/>
      <c r="E63" s="94">
        <v>9</v>
      </c>
      <c r="F63" s="106"/>
      <c r="G63" s="94">
        <v>12</v>
      </c>
      <c r="H63" s="106"/>
      <c r="I63" s="17">
        <f t="shared" si="74"/>
        <v>2</v>
      </c>
      <c r="J63" s="14"/>
      <c r="K63" s="49">
        <v>2</v>
      </c>
      <c r="L63" s="17">
        <f t="shared" si="75"/>
        <v>3</v>
      </c>
      <c r="M63" s="14"/>
      <c r="N63" s="49">
        <v>3</v>
      </c>
      <c r="O63" s="17">
        <f t="shared" si="76"/>
        <v>2</v>
      </c>
      <c r="P63" s="14"/>
      <c r="Q63" s="49">
        <v>2</v>
      </c>
      <c r="R63" s="17">
        <f t="shared" si="77"/>
        <v>3</v>
      </c>
      <c r="S63" s="14"/>
      <c r="T63" s="49">
        <v>3</v>
      </c>
      <c r="U63" s="17">
        <f t="shared" si="78"/>
        <v>10</v>
      </c>
      <c r="V63" s="14"/>
      <c r="W63" s="49">
        <f t="shared" si="79"/>
        <v>10</v>
      </c>
      <c r="X63" s="106"/>
      <c r="Y63" s="94">
        <f t="shared" si="80"/>
        <v>3</v>
      </c>
      <c r="Z63" s="14"/>
      <c r="AA63" s="49">
        <v>3</v>
      </c>
      <c r="AB63" s="17">
        <f t="shared" si="81"/>
        <v>2</v>
      </c>
      <c r="AC63" s="14"/>
      <c r="AD63" s="49">
        <v>2</v>
      </c>
      <c r="AE63" s="17">
        <f t="shared" si="82"/>
        <v>2</v>
      </c>
      <c r="AF63" s="14"/>
      <c r="AG63" s="49">
        <v>2</v>
      </c>
      <c r="AH63" s="17">
        <f t="shared" si="83"/>
        <v>3</v>
      </c>
      <c r="AI63" s="14"/>
      <c r="AJ63" s="49">
        <v>3</v>
      </c>
      <c r="AK63" s="17">
        <f t="shared" si="84"/>
        <v>10</v>
      </c>
      <c r="AL63" s="14"/>
      <c r="AM63" s="49">
        <f t="shared" si="85"/>
        <v>10</v>
      </c>
      <c r="AN63" s="106"/>
      <c r="AO63" s="17">
        <f t="shared" si="86"/>
        <v>3</v>
      </c>
      <c r="AP63" s="14"/>
      <c r="AQ63" s="49">
        <v>3</v>
      </c>
      <c r="AR63" s="17">
        <f t="shared" si="87"/>
        <v>17</v>
      </c>
      <c r="AS63" s="14"/>
      <c r="AT63" s="49">
        <f>20-3</f>
        <v>17</v>
      </c>
      <c r="AU63" s="17">
        <f t="shared" si="88"/>
        <v>28</v>
      </c>
      <c r="AV63" s="14"/>
      <c r="AW63" s="49">
        <f>48-17-3</f>
        <v>28</v>
      </c>
      <c r="AX63" s="17">
        <f t="shared" si="89"/>
        <v>23</v>
      </c>
      <c r="AY63" s="14"/>
      <c r="AZ63" s="49">
        <f>71-48</f>
        <v>23</v>
      </c>
      <c r="BA63" s="17">
        <f t="shared" si="90"/>
        <v>71</v>
      </c>
      <c r="BB63" s="14"/>
      <c r="BC63" s="49">
        <f t="shared" si="91"/>
        <v>71</v>
      </c>
      <c r="BD63" s="106"/>
      <c r="BE63" s="17">
        <f t="shared" si="92"/>
        <v>21</v>
      </c>
      <c r="BF63" s="14"/>
      <c r="BG63" s="49">
        <v>21</v>
      </c>
      <c r="BH63" s="17">
        <f t="shared" si="93"/>
        <v>23</v>
      </c>
      <c r="BI63" s="14"/>
      <c r="BJ63" s="49">
        <f>44-21</f>
        <v>23</v>
      </c>
      <c r="BK63" s="17">
        <f t="shared" si="94"/>
        <v>31</v>
      </c>
      <c r="BL63" s="14"/>
      <c r="BM63" s="49">
        <f>75-44</f>
        <v>31</v>
      </c>
      <c r="BN63" s="17">
        <f t="shared" si="95"/>
        <v>22</v>
      </c>
      <c r="BO63" s="14"/>
      <c r="BP63" s="49">
        <f>97-75</f>
        <v>22</v>
      </c>
      <c r="BQ63" s="17">
        <f t="shared" si="96"/>
        <v>97</v>
      </c>
      <c r="BR63" s="14"/>
      <c r="BS63" s="49">
        <f t="shared" si="97"/>
        <v>97</v>
      </c>
      <c r="BT63" s="106"/>
      <c r="BU63" s="17">
        <f t="shared" si="98"/>
        <v>20</v>
      </c>
      <c r="BV63" s="14"/>
      <c r="BW63" s="49">
        <v>20</v>
      </c>
      <c r="BX63" s="17">
        <f t="shared" si="99"/>
        <v>0</v>
      </c>
      <c r="BY63" s="14"/>
      <c r="BZ63" s="49"/>
      <c r="CA63" s="17">
        <f t="shared" si="100"/>
        <v>0</v>
      </c>
      <c r="CB63" s="14"/>
      <c r="CC63" s="49"/>
      <c r="CD63" s="17">
        <f t="shared" si="101"/>
        <v>0</v>
      </c>
      <c r="CE63" s="14"/>
      <c r="CF63" s="49"/>
      <c r="CG63" s="17">
        <f t="shared" si="102"/>
        <v>20</v>
      </c>
      <c r="CH63" s="14"/>
      <c r="CI63" s="49">
        <f t="shared" si="103"/>
        <v>20</v>
      </c>
    </row>
    <row r="64" spans="1:87" ht="12.75">
      <c r="A64" s="8" t="s">
        <v>23</v>
      </c>
      <c r="B64" s="106"/>
      <c r="C64" s="17">
        <v>1</v>
      </c>
      <c r="D64" s="106"/>
      <c r="E64" s="94">
        <v>3</v>
      </c>
      <c r="F64" s="106"/>
      <c r="G64" s="94">
        <v>23</v>
      </c>
      <c r="H64" s="106"/>
      <c r="I64" s="17">
        <f t="shared" si="74"/>
        <v>3</v>
      </c>
      <c r="J64" s="14"/>
      <c r="K64" s="49">
        <v>3</v>
      </c>
      <c r="L64" s="17">
        <f t="shared" si="75"/>
        <v>5</v>
      </c>
      <c r="M64" s="14"/>
      <c r="N64" s="49">
        <v>5</v>
      </c>
      <c r="O64" s="17">
        <f t="shared" si="76"/>
        <v>4</v>
      </c>
      <c r="P64" s="14"/>
      <c r="Q64" s="49">
        <v>4</v>
      </c>
      <c r="R64" s="17">
        <f t="shared" si="77"/>
        <v>11</v>
      </c>
      <c r="S64" s="14"/>
      <c r="T64" s="49">
        <v>11</v>
      </c>
      <c r="U64" s="17">
        <f t="shared" si="78"/>
        <v>23</v>
      </c>
      <c r="V64" s="14"/>
      <c r="W64" s="49">
        <f t="shared" si="79"/>
        <v>23</v>
      </c>
      <c r="X64" s="106"/>
      <c r="Y64" s="94">
        <f t="shared" si="80"/>
        <v>2</v>
      </c>
      <c r="Z64" s="14"/>
      <c r="AA64" s="49">
        <v>2</v>
      </c>
      <c r="AB64" s="17">
        <f t="shared" si="81"/>
        <v>3</v>
      </c>
      <c r="AC64" s="14"/>
      <c r="AD64" s="49">
        <v>3</v>
      </c>
      <c r="AE64" s="17">
        <f t="shared" si="82"/>
        <v>4</v>
      </c>
      <c r="AF64" s="14"/>
      <c r="AG64" s="49">
        <v>4</v>
      </c>
      <c r="AH64" s="17">
        <f t="shared" si="83"/>
        <v>6</v>
      </c>
      <c r="AI64" s="14"/>
      <c r="AJ64" s="49">
        <v>6</v>
      </c>
      <c r="AK64" s="17">
        <f t="shared" si="84"/>
        <v>15</v>
      </c>
      <c r="AL64" s="14"/>
      <c r="AM64" s="49">
        <f t="shared" si="85"/>
        <v>15</v>
      </c>
      <c r="AN64" s="106"/>
      <c r="AO64" s="17">
        <f t="shared" si="86"/>
        <v>2</v>
      </c>
      <c r="AP64" s="14"/>
      <c r="AQ64" s="49">
        <v>2</v>
      </c>
      <c r="AR64" s="17">
        <f t="shared" si="87"/>
        <v>1</v>
      </c>
      <c r="AS64" s="14"/>
      <c r="AT64" s="49">
        <f>3-2</f>
        <v>1</v>
      </c>
      <c r="AU64" s="17">
        <f t="shared" si="88"/>
        <v>1</v>
      </c>
      <c r="AV64" s="14"/>
      <c r="AW64" s="49">
        <f>4-1-2</f>
        <v>1</v>
      </c>
      <c r="AX64" s="17">
        <f t="shared" si="89"/>
        <v>0</v>
      </c>
      <c r="AY64" s="14"/>
      <c r="AZ64" s="49">
        <f>4-4</f>
        <v>0</v>
      </c>
      <c r="BA64" s="17">
        <f t="shared" si="90"/>
        <v>4</v>
      </c>
      <c r="BB64" s="14"/>
      <c r="BC64" s="49">
        <f t="shared" si="91"/>
        <v>4</v>
      </c>
      <c r="BD64" s="106"/>
      <c r="BE64" s="17">
        <f t="shared" si="92"/>
        <v>2</v>
      </c>
      <c r="BF64" s="14"/>
      <c r="BG64" s="49">
        <v>2</v>
      </c>
      <c r="BH64" s="17">
        <f t="shared" si="93"/>
        <v>1</v>
      </c>
      <c r="BI64" s="14"/>
      <c r="BJ64" s="49">
        <f>3-2</f>
        <v>1</v>
      </c>
      <c r="BK64" s="17">
        <f t="shared" si="94"/>
        <v>1</v>
      </c>
      <c r="BL64" s="14"/>
      <c r="BM64" s="49">
        <f>4-3</f>
        <v>1</v>
      </c>
      <c r="BN64" s="17">
        <f t="shared" si="95"/>
        <v>0</v>
      </c>
      <c r="BO64" s="14"/>
      <c r="BP64" s="49">
        <v>0</v>
      </c>
      <c r="BQ64" s="17">
        <f t="shared" si="96"/>
        <v>4</v>
      </c>
      <c r="BR64" s="14"/>
      <c r="BS64" s="49">
        <f t="shared" si="97"/>
        <v>4</v>
      </c>
      <c r="BT64" s="106"/>
      <c r="BU64" s="17">
        <f t="shared" si="98"/>
        <v>2</v>
      </c>
      <c r="BV64" s="14"/>
      <c r="BW64" s="49">
        <v>2</v>
      </c>
      <c r="BX64" s="17">
        <f t="shared" si="99"/>
        <v>0</v>
      </c>
      <c r="BY64" s="14"/>
      <c r="BZ64" s="49"/>
      <c r="CA64" s="17">
        <f t="shared" si="100"/>
        <v>0</v>
      </c>
      <c r="CB64" s="14"/>
      <c r="CC64" s="49"/>
      <c r="CD64" s="17">
        <f t="shared" si="101"/>
        <v>0</v>
      </c>
      <c r="CE64" s="14"/>
      <c r="CF64" s="49"/>
      <c r="CG64" s="17">
        <f t="shared" si="102"/>
        <v>2</v>
      </c>
      <c r="CH64" s="14"/>
      <c r="CI64" s="49">
        <f t="shared" si="103"/>
        <v>2</v>
      </c>
    </row>
    <row r="65" spans="1:87" ht="12.75">
      <c r="A65" s="9" t="s">
        <v>56</v>
      </c>
      <c r="B65" s="106"/>
      <c r="C65" s="3">
        <f>SUM(C57:C64)</f>
        <v>162</v>
      </c>
      <c r="D65" s="106"/>
      <c r="E65" s="13">
        <f>SUM(E57:E64)</f>
        <v>262</v>
      </c>
      <c r="F65" s="106"/>
      <c r="G65" s="13">
        <f>SUM(G57:G64)</f>
        <v>481</v>
      </c>
      <c r="H65" s="106"/>
      <c r="I65" s="3">
        <f aca="true" t="shared" si="104" ref="I65:W65">SUM(I57:I64)</f>
        <v>131</v>
      </c>
      <c r="J65" s="13">
        <f t="shared" si="104"/>
        <v>14</v>
      </c>
      <c r="K65" s="50">
        <f t="shared" si="104"/>
        <v>145</v>
      </c>
      <c r="L65" s="3">
        <f t="shared" si="104"/>
        <v>159</v>
      </c>
      <c r="M65" s="13">
        <f t="shared" si="104"/>
        <v>34</v>
      </c>
      <c r="N65" s="50">
        <f t="shared" si="104"/>
        <v>193</v>
      </c>
      <c r="O65" s="3">
        <f t="shared" si="104"/>
        <v>214</v>
      </c>
      <c r="P65" s="13">
        <f t="shared" si="104"/>
        <v>54</v>
      </c>
      <c r="Q65" s="50">
        <f t="shared" si="104"/>
        <v>268</v>
      </c>
      <c r="R65" s="3">
        <f t="shared" si="104"/>
        <v>195</v>
      </c>
      <c r="S65" s="13">
        <f t="shared" si="104"/>
        <v>46</v>
      </c>
      <c r="T65" s="50">
        <f t="shared" si="104"/>
        <v>241</v>
      </c>
      <c r="U65" s="3">
        <f t="shared" si="104"/>
        <v>699</v>
      </c>
      <c r="V65" s="13">
        <f t="shared" si="104"/>
        <v>148</v>
      </c>
      <c r="W65" s="50">
        <f t="shared" si="104"/>
        <v>847</v>
      </c>
      <c r="X65" s="106"/>
      <c r="Y65" s="13">
        <f aca="true" t="shared" si="105" ref="Y65:BS65">SUM(Y57:Y64)</f>
        <v>183</v>
      </c>
      <c r="Z65" s="13">
        <f t="shared" si="105"/>
        <v>46</v>
      </c>
      <c r="AA65" s="50">
        <f t="shared" si="105"/>
        <v>229</v>
      </c>
      <c r="AB65" s="3">
        <f t="shared" si="105"/>
        <v>233</v>
      </c>
      <c r="AC65" s="13">
        <f t="shared" si="105"/>
        <v>61</v>
      </c>
      <c r="AD65" s="50">
        <f t="shared" si="105"/>
        <v>294</v>
      </c>
      <c r="AE65" s="3">
        <f t="shared" si="105"/>
        <v>297</v>
      </c>
      <c r="AF65" s="13">
        <f t="shared" si="105"/>
        <v>64</v>
      </c>
      <c r="AG65" s="50">
        <f t="shared" si="105"/>
        <v>361</v>
      </c>
      <c r="AH65" s="3">
        <f t="shared" si="105"/>
        <v>285</v>
      </c>
      <c r="AI65" s="13">
        <f t="shared" si="105"/>
        <v>48</v>
      </c>
      <c r="AJ65" s="50">
        <f t="shared" si="105"/>
        <v>333</v>
      </c>
      <c r="AK65" s="3">
        <f t="shared" si="105"/>
        <v>998</v>
      </c>
      <c r="AL65" s="13">
        <f t="shared" si="105"/>
        <v>219</v>
      </c>
      <c r="AM65" s="50">
        <f t="shared" si="105"/>
        <v>1217</v>
      </c>
      <c r="AN65" s="106"/>
      <c r="AO65" s="3">
        <f t="shared" si="105"/>
        <v>302</v>
      </c>
      <c r="AP65" s="13">
        <f t="shared" si="105"/>
        <v>68</v>
      </c>
      <c r="AQ65" s="50">
        <f t="shared" si="105"/>
        <v>370</v>
      </c>
      <c r="AR65" s="3">
        <f t="shared" si="105"/>
        <v>332</v>
      </c>
      <c r="AS65" s="13">
        <f t="shared" si="105"/>
        <v>98</v>
      </c>
      <c r="AT65" s="50">
        <f t="shared" si="105"/>
        <v>430</v>
      </c>
      <c r="AU65" s="3">
        <f t="shared" si="105"/>
        <v>397</v>
      </c>
      <c r="AV65" s="13">
        <f t="shared" si="105"/>
        <v>119</v>
      </c>
      <c r="AW65" s="50">
        <f t="shared" si="105"/>
        <v>516</v>
      </c>
      <c r="AX65" s="3">
        <f t="shared" si="105"/>
        <v>398</v>
      </c>
      <c r="AY65" s="13">
        <f t="shared" si="105"/>
        <v>109</v>
      </c>
      <c r="AZ65" s="50">
        <f t="shared" si="105"/>
        <v>507</v>
      </c>
      <c r="BA65" s="3">
        <f t="shared" si="105"/>
        <v>1429</v>
      </c>
      <c r="BB65" s="13">
        <f t="shared" si="105"/>
        <v>394</v>
      </c>
      <c r="BC65" s="50">
        <f t="shared" si="105"/>
        <v>1823</v>
      </c>
      <c r="BD65" s="106"/>
      <c r="BE65" s="3">
        <f t="shared" si="105"/>
        <v>328</v>
      </c>
      <c r="BF65" s="13">
        <f t="shared" si="105"/>
        <v>98</v>
      </c>
      <c r="BG65" s="50">
        <f t="shared" si="105"/>
        <v>426</v>
      </c>
      <c r="BH65" s="3">
        <f t="shared" si="105"/>
        <v>334</v>
      </c>
      <c r="BI65" s="13">
        <f t="shared" si="105"/>
        <v>112</v>
      </c>
      <c r="BJ65" s="50">
        <f t="shared" si="105"/>
        <v>446</v>
      </c>
      <c r="BK65" s="3">
        <f t="shared" si="105"/>
        <v>385</v>
      </c>
      <c r="BL65" s="13">
        <f t="shared" si="105"/>
        <v>87</v>
      </c>
      <c r="BM65" s="50">
        <f t="shared" si="105"/>
        <v>472</v>
      </c>
      <c r="BN65" s="3">
        <f t="shared" si="105"/>
        <v>307</v>
      </c>
      <c r="BO65" s="13">
        <f t="shared" si="105"/>
        <v>35</v>
      </c>
      <c r="BP65" s="50">
        <f t="shared" si="105"/>
        <v>342</v>
      </c>
      <c r="BQ65" s="3">
        <f t="shared" si="105"/>
        <v>1354</v>
      </c>
      <c r="BR65" s="13">
        <f t="shared" si="105"/>
        <v>332</v>
      </c>
      <c r="BS65" s="50">
        <f t="shared" si="105"/>
        <v>1686</v>
      </c>
      <c r="BT65" s="106"/>
      <c r="BU65" s="3">
        <f aca="true" t="shared" si="106" ref="BU65:CI65">SUM(BU57:BU64)</f>
        <v>309</v>
      </c>
      <c r="BV65" s="13">
        <f t="shared" si="106"/>
        <v>7</v>
      </c>
      <c r="BW65" s="50">
        <f t="shared" si="106"/>
        <v>316</v>
      </c>
      <c r="BX65" s="3">
        <f t="shared" si="106"/>
        <v>0</v>
      </c>
      <c r="BY65" s="13">
        <f t="shared" si="106"/>
        <v>0</v>
      </c>
      <c r="BZ65" s="50">
        <f t="shared" si="106"/>
        <v>0</v>
      </c>
      <c r="CA65" s="3">
        <f t="shared" si="106"/>
        <v>0</v>
      </c>
      <c r="CB65" s="13">
        <f t="shared" si="106"/>
        <v>0</v>
      </c>
      <c r="CC65" s="50">
        <f t="shared" si="106"/>
        <v>0</v>
      </c>
      <c r="CD65" s="3">
        <f t="shared" si="106"/>
        <v>0</v>
      </c>
      <c r="CE65" s="13">
        <f t="shared" si="106"/>
        <v>0</v>
      </c>
      <c r="CF65" s="50">
        <f t="shared" si="106"/>
        <v>0</v>
      </c>
      <c r="CG65" s="3">
        <f t="shared" si="106"/>
        <v>309</v>
      </c>
      <c r="CH65" s="13">
        <f t="shared" si="106"/>
        <v>7</v>
      </c>
      <c r="CI65" s="50">
        <f t="shared" si="106"/>
        <v>316</v>
      </c>
    </row>
    <row r="66" spans="1:87" ht="12.75">
      <c r="A66" s="7" t="s">
        <v>60</v>
      </c>
      <c r="B66" s="106"/>
      <c r="C66" s="17"/>
      <c r="D66" s="106"/>
      <c r="E66" s="94"/>
      <c r="F66" s="106"/>
      <c r="G66" s="94"/>
      <c r="H66" s="106"/>
      <c r="I66" s="17"/>
      <c r="J66" s="14"/>
      <c r="K66" s="49"/>
      <c r="L66" s="17"/>
      <c r="M66" s="14"/>
      <c r="N66" s="49"/>
      <c r="O66" s="17"/>
      <c r="P66" s="14"/>
      <c r="Q66" s="49"/>
      <c r="R66" s="17"/>
      <c r="S66" s="14"/>
      <c r="T66" s="49"/>
      <c r="U66" s="17"/>
      <c r="V66" s="14"/>
      <c r="W66" s="49"/>
      <c r="X66" s="106"/>
      <c r="Y66" s="94"/>
      <c r="Z66" s="14"/>
      <c r="AA66" s="49"/>
      <c r="AB66" s="17"/>
      <c r="AC66" s="14"/>
      <c r="AD66" s="49"/>
      <c r="AE66" s="17"/>
      <c r="AF66" s="14"/>
      <c r="AG66" s="49"/>
      <c r="AH66" s="17"/>
      <c r="AI66" s="14"/>
      <c r="AJ66" s="49"/>
      <c r="AK66" s="17"/>
      <c r="AL66" s="14"/>
      <c r="AM66" s="49"/>
      <c r="AN66" s="106"/>
      <c r="AO66" s="17"/>
      <c r="AP66" s="14"/>
      <c r="AQ66" s="49"/>
      <c r="AR66" s="17"/>
      <c r="AS66" s="14"/>
      <c r="AT66" s="49"/>
      <c r="AU66" s="17"/>
      <c r="AV66" s="14"/>
      <c r="AW66" s="49"/>
      <c r="AX66" s="17"/>
      <c r="AY66" s="14"/>
      <c r="AZ66" s="49"/>
      <c r="BA66" s="17"/>
      <c r="BB66" s="14"/>
      <c r="BC66" s="49"/>
      <c r="BD66" s="106"/>
      <c r="BE66" s="17"/>
      <c r="BF66" s="14"/>
      <c r="BG66" s="49"/>
      <c r="BH66" s="17"/>
      <c r="BI66" s="14"/>
      <c r="BJ66" s="49"/>
      <c r="BK66" s="17"/>
      <c r="BL66" s="14"/>
      <c r="BM66" s="49"/>
      <c r="BN66" s="17"/>
      <c r="BO66" s="14"/>
      <c r="BP66" s="49"/>
      <c r="BQ66" s="17"/>
      <c r="BR66" s="14"/>
      <c r="BS66" s="49"/>
      <c r="BT66" s="106"/>
      <c r="BU66" s="17"/>
      <c r="BV66" s="14"/>
      <c r="BW66" s="49"/>
      <c r="BX66" s="17"/>
      <c r="BY66" s="14"/>
      <c r="BZ66" s="49"/>
      <c r="CA66" s="17"/>
      <c r="CB66" s="14"/>
      <c r="CC66" s="49"/>
      <c r="CD66" s="17"/>
      <c r="CE66" s="14"/>
      <c r="CF66" s="49"/>
      <c r="CG66" s="17"/>
      <c r="CH66" s="14"/>
      <c r="CI66" s="49"/>
    </row>
    <row r="67" spans="1:87" ht="12.75">
      <c r="A67" s="8" t="s">
        <v>61</v>
      </c>
      <c r="B67" s="106"/>
      <c r="C67" s="17">
        <f>E67-D67</f>
        <v>0</v>
      </c>
      <c r="D67" s="106"/>
      <c r="E67" s="94">
        <f>G67-F67</f>
        <v>0</v>
      </c>
      <c r="F67" s="106"/>
      <c r="G67" s="94">
        <f>I67-H67</f>
        <v>0</v>
      </c>
      <c r="H67" s="106"/>
      <c r="I67" s="17">
        <f>K67-J67</f>
        <v>0</v>
      </c>
      <c r="J67" s="14"/>
      <c r="K67" s="49">
        <v>0</v>
      </c>
      <c r="L67" s="17">
        <f>N67-M67</f>
        <v>0</v>
      </c>
      <c r="M67" s="14"/>
      <c r="N67" s="49">
        <v>0</v>
      </c>
      <c r="O67" s="17">
        <f>Q67-P67</f>
        <v>0</v>
      </c>
      <c r="P67" s="14"/>
      <c r="Q67" s="49">
        <v>0</v>
      </c>
      <c r="R67" s="17">
        <f>T67-S67</f>
        <v>0</v>
      </c>
      <c r="S67" s="14"/>
      <c r="T67" s="49">
        <v>0</v>
      </c>
      <c r="U67" s="17">
        <f>W67-V67</f>
        <v>0</v>
      </c>
      <c r="V67" s="14"/>
      <c r="W67" s="49">
        <f>K67+N67+Q67+T67</f>
        <v>0</v>
      </c>
      <c r="X67" s="106"/>
      <c r="Y67" s="94">
        <f>AA67-Z67</f>
        <v>0</v>
      </c>
      <c r="Z67" s="14"/>
      <c r="AA67" s="49">
        <v>0</v>
      </c>
      <c r="AB67" s="17">
        <f>AD67-AC67</f>
        <v>0</v>
      </c>
      <c r="AC67" s="14"/>
      <c r="AD67" s="49">
        <v>0</v>
      </c>
      <c r="AE67" s="17">
        <f>AG67-AF67</f>
        <v>0</v>
      </c>
      <c r="AF67" s="14"/>
      <c r="AG67" s="49">
        <v>0</v>
      </c>
      <c r="AH67" s="17">
        <f>AJ67-AI67</f>
        <v>0</v>
      </c>
      <c r="AI67" s="14"/>
      <c r="AJ67" s="49">
        <v>0</v>
      </c>
      <c r="AK67" s="17">
        <f>AM67-AL67</f>
        <v>0</v>
      </c>
      <c r="AL67" s="14"/>
      <c r="AM67" s="49">
        <f>AA67+AD67+AG67+AJ67</f>
        <v>0</v>
      </c>
      <c r="AN67" s="106"/>
      <c r="AO67" s="17">
        <f>AQ67-AP67</f>
        <v>0</v>
      </c>
      <c r="AP67" s="14"/>
      <c r="AQ67" s="49">
        <v>0</v>
      </c>
      <c r="AR67" s="17">
        <f>AT67-AS67</f>
        <v>0</v>
      </c>
      <c r="AS67" s="14"/>
      <c r="AT67" s="49">
        <v>0</v>
      </c>
      <c r="AU67" s="17">
        <f>AW67-AV67</f>
        <v>0</v>
      </c>
      <c r="AV67" s="14"/>
      <c r="AW67" s="49">
        <v>0</v>
      </c>
      <c r="AX67" s="17">
        <f>AZ67-AY67</f>
        <v>0</v>
      </c>
      <c r="AY67" s="14"/>
      <c r="AZ67" s="49">
        <v>0</v>
      </c>
      <c r="BA67" s="17">
        <f>BC67-BB67</f>
        <v>0</v>
      </c>
      <c r="BB67" s="14"/>
      <c r="BC67" s="49">
        <f>AQ67+AT67+AW67+AZ67</f>
        <v>0</v>
      </c>
      <c r="BD67" s="106"/>
      <c r="BE67" s="17">
        <f>BG67-BF67</f>
        <v>30</v>
      </c>
      <c r="BF67" s="14"/>
      <c r="BG67" s="49">
        <v>30</v>
      </c>
      <c r="BH67" s="17">
        <f>BJ67-BI67</f>
        <v>85</v>
      </c>
      <c r="BI67" s="14"/>
      <c r="BJ67" s="49">
        <f>115-30</f>
        <v>85</v>
      </c>
      <c r="BK67" s="17">
        <f>BM67-BL67</f>
        <v>105</v>
      </c>
      <c r="BL67" s="14"/>
      <c r="BM67" s="49">
        <f>220-115</f>
        <v>105</v>
      </c>
      <c r="BN67" s="17">
        <f>BP67-BO67</f>
        <v>104</v>
      </c>
      <c r="BO67" s="14"/>
      <c r="BP67" s="49">
        <v>104</v>
      </c>
      <c r="BQ67" s="17">
        <f>BS67-BR67</f>
        <v>324</v>
      </c>
      <c r="BR67" s="14"/>
      <c r="BS67" s="49">
        <f>BG67+BJ67+BM67+BP67</f>
        <v>324</v>
      </c>
      <c r="BT67" s="106"/>
      <c r="BU67" s="17">
        <f>BW67-BV67</f>
        <v>96</v>
      </c>
      <c r="BV67" s="14"/>
      <c r="BW67" s="49">
        <v>96</v>
      </c>
      <c r="BX67" s="17">
        <f>BZ67-BY67</f>
        <v>0</v>
      </c>
      <c r="BY67" s="14"/>
      <c r="BZ67" s="49"/>
      <c r="CA67" s="17">
        <f>CC67-CB67</f>
        <v>0</v>
      </c>
      <c r="CB67" s="14"/>
      <c r="CC67" s="49"/>
      <c r="CD67" s="17">
        <f>CF67-CE67</f>
        <v>0</v>
      </c>
      <c r="CE67" s="14"/>
      <c r="CF67" s="49"/>
      <c r="CG67" s="17">
        <f>CI67-CH67</f>
        <v>96</v>
      </c>
      <c r="CH67" s="14"/>
      <c r="CI67" s="49">
        <f>BW67+BZ67+CC67+CF67</f>
        <v>96</v>
      </c>
    </row>
    <row r="68" spans="1:87" ht="12.75">
      <c r="A68" s="8" t="s">
        <v>23</v>
      </c>
      <c r="B68" s="106"/>
      <c r="C68" s="17">
        <v>3</v>
      </c>
      <c r="D68" s="106"/>
      <c r="E68" s="94">
        <v>3</v>
      </c>
      <c r="F68" s="106"/>
      <c r="G68" s="94">
        <v>6</v>
      </c>
      <c r="H68" s="106"/>
      <c r="I68" s="17">
        <f>K68-J68</f>
        <v>2</v>
      </c>
      <c r="J68" s="14"/>
      <c r="K68" s="49">
        <v>2</v>
      </c>
      <c r="L68" s="17">
        <f>N68-M68</f>
        <v>3</v>
      </c>
      <c r="M68" s="14"/>
      <c r="N68" s="49">
        <v>3</v>
      </c>
      <c r="O68" s="17">
        <f>Q68-P68</f>
        <v>2</v>
      </c>
      <c r="P68" s="14"/>
      <c r="Q68" s="49">
        <v>2</v>
      </c>
      <c r="R68" s="17">
        <f>T68-S68</f>
        <v>0</v>
      </c>
      <c r="S68" s="14"/>
      <c r="T68" s="49">
        <v>0</v>
      </c>
      <c r="U68" s="17">
        <f>W68-V68</f>
        <v>7</v>
      </c>
      <c r="V68" s="14"/>
      <c r="W68" s="49">
        <f>K68+N68+Q68+T68</f>
        <v>7</v>
      </c>
      <c r="X68" s="106"/>
      <c r="Y68" s="94">
        <f>AA68-Z68</f>
        <v>0</v>
      </c>
      <c r="Z68" s="14"/>
      <c r="AA68" s="49">
        <v>0</v>
      </c>
      <c r="AB68" s="17">
        <f>AD68-AC68</f>
        <v>1</v>
      </c>
      <c r="AC68" s="14"/>
      <c r="AD68" s="49">
        <v>1</v>
      </c>
      <c r="AE68" s="17">
        <f>AG68-AF68</f>
        <v>1</v>
      </c>
      <c r="AF68" s="14"/>
      <c r="AG68" s="49">
        <v>1</v>
      </c>
      <c r="AH68" s="17">
        <f>AJ68-AI68</f>
        <v>0</v>
      </c>
      <c r="AI68" s="14"/>
      <c r="AJ68" s="49">
        <v>0</v>
      </c>
      <c r="AK68" s="17">
        <f>AM68-AL68</f>
        <v>2</v>
      </c>
      <c r="AL68" s="14"/>
      <c r="AM68" s="49">
        <f>AA68+AD68+AG68+AJ68</f>
        <v>2</v>
      </c>
      <c r="AN68" s="106"/>
      <c r="AO68" s="17">
        <f>AQ68-AP68</f>
        <v>1</v>
      </c>
      <c r="AP68" s="14"/>
      <c r="AQ68" s="49">
        <v>1</v>
      </c>
      <c r="AR68" s="17">
        <f>AT68-AS68</f>
        <v>0</v>
      </c>
      <c r="AS68" s="14"/>
      <c r="AT68" s="49">
        <v>0</v>
      </c>
      <c r="AU68" s="17">
        <f>AW68-AV68</f>
        <v>0</v>
      </c>
      <c r="AV68" s="14"/>
      <c r="AW68" s="49">
        <v>0</v>
      </c>
      <c r="AX68" s="17">
        <f>AZ68-AY68</f>
        <v>1</v>
      </c>
      <c r="AY68" s="14"/>
      <c r="AZ68" s="49">
        <v>1</v>
      </c>
      <c r="BA68" s="17">
        <f>BC68-BB68</f>
        <v>2</v>
      </c>
      <c r="BB68" s="14"/>
      <c r="BC68" s="49">
        <f>AQ68+AT68+AW68+AZ68</f>
        <v>2</v>
      </c>
      <c r="BD68" s="106"/>
      <c r="BE68" s="17">
        <f>BG68-BF68</f>
        <v>1</v>
      </c>
      <c r="BF68" s="14"/>
      <c r="BG68" s="49">
        <v>1</v>
      </c>
      <c r="BH68" s="17">
        <f>BJ68-BI68</f>
        <v>1</v>
      </c>
      <c r="BI68" s="14"/>
      <c r="BJ68" s="49">
        <f>2-1</f>
        <v>1</v>
      </c>
      <c r="BK68" s="17">
        <f>BM68-BL68</f>
        <v>1</v>
      </c>
      <c r="BL68" s="14"/>
      <c r="BM68" s="49">
        <f>3-2</f>
        <v>1</v>
      </c>
      <c r="BN68" s="17">
        <f>BP68-BO68</f>
        <v>1</v>
      </c>
      <c r="BO68" s="14"/>
      <c r="BP68" s="49">
        <v>1</v>
      </c>
      <c r="BQ68" s="17">
        <f>BS68-BR68</f>
        <v>4</v>
      </c>
      <c r="BR68" s="14"/>
      <c r="BS68" s="49">
        <f>BG68+BJ68+BM68+BP68</f>
        <v>4</v>
      </c>
      <c r="BT68" s="106"/>
      <c r="BU68" s="17">
        <f>BW68-BV68</f>
        <v>1</v>
      </c>
      <c r="BV68" s="14"/>
      <c r="BW68" s="49">
        <v>1</v>
      </c>
      <c r="BX68" s="17">
        <f>BZ68-BY68</f>
        <v>0</v>
      </c>
      <c r="BY68" s="14"/>
      <c r="BZ68" s="49"/>
      <c r="CA68" s="17">
        <f>CC68-CB68</f>
        <v>0</v>
      </c>
      <c r="CB68" s="14"/>
      <c r="CC68" s="49"/>
      <c r="CD68" s="17">
        <f>CF68-CE68</f>
        <v>0</v>
      </c>
      <c r="CE68" s="14"/>
      <c r="CF68" s="49"/>
      <c r="CG68" s="17">
        <f>CI68-CH68</f>
        <v>1</v>
      </c>
      <c r="CH68" s="14"/>
      <c r="CI68" s="49">
        <f>BW68+BZ68+CC68+CF68</f>
        <v>1</v>
      </c>
    </row>
    <row r="69" spans="1:87" ht="12.75">
      <c r="A69" s="9" t="s">
        <v>62</v>
      </c>
      <c r="B69" s="106"/>
      <c r="C69" s="3">
        <f>SUM(C67:C68)</f>
        <v>3</v>
      </c>
      <c r="D69" s="106"/>
      <c r="E69" s="13">
        <f>SUM(E67:E68)</f>
        <v>3</v>
      </c>
      <c r="F69" s="106"/>
      <c r="G69" s="13">
        <f>SUM(G67:G68)</f>
        <v>6</v>
      </c>
      <c r="H69" s="106"/>
      <c r="I69" s="3">
        <f aca="true" t="shared" si="107" ref="I69:W69">SUM(I67:I68)</f>
        <v>2</v>
      </c>
      <c r="J69" s="13">
        <f t="shared" si="107"/>
        <v>0</v>
      </c>
      <c r="K69" s="50">
        <f t="shared" si="107"/>
        <v>2</v>
      </c>
      <c r="L69" s="3">
        <f t="shared" si="107"/>
        <v>3</v>
      </c>
      <c r="M69" s="13">
        <f t="shared" si="107"/>
        <v>0</v>
      </c>
      <c r="N69" s="50">
        <f t="shared" si="107"/>
        <v>3</v>
      </c>
      <c r="O69" s="3">
        <f t="shared" si="107"/>
        <v>2</v>
      </c>
      <c r="P69" s="13">
        <f t="shared" si="107"/>
        <v>0</v>
      </c>
      <c r="Q69" s="50">
        <f t="shared" si="107"/>
        <v>2</v>
      </c>
      <c r="R69" s="3">
        <f t="shared" si="107"/>
        <v>0</v>
      </c>
      <c r="S69" s="13">
        <f t="shared" si="107"/>
        <v>0</v>
      </c>
      <c r="T69" s="50">
        <f t="shared" si="107"/>
        <v>0</v>
      </c>
      <c r="U69" s="3">
        <f t="shared" si="107"/>
        <v>7</v>
      </c>
      <c r="V69" s="13">
        <f t="shared" si="107"/>
        <v>0</v>
      </c>
      <c r="W69" s="50">
        <f t="shared" si="107"/>
        <v>7</v>
      </c>
      <c r="X69" s="106"/>
      <c r="Y69" s="13">
        <f aca="true" t="shared" si="108" ref="Y69:BS69">SUM(Y67:Y68)</f>
        <v>0</v>
      </c>
      <c r="Z69" s="13">
        <f t="shared" si="108"/>
        <v>0</v>
      </c>
      <c r="AA69" s="50">
        <f t="shared" si="108"/>
        <v>0</v>
      </c>
      <c r="AB69" s="3">
        <f t="shared" si="108"/>
        <v>1</v>
      </c>
      <c r="AC69" s="13">
        <f t="shared" si="108"/>
        <v>0</v>
      </c>
      <c r="AD69" s="50">
        <f t="shared" si="108"/>
        <v>1</v>
      </c>
      <c r="AE69" s="3">
        <f t="shared" si="108"/>
        <v>1</v>
      </c>
      <c r="AF69" s="13">
        <f t="shared" si="108"/>
        <v>0</v>
      </c>
      <c r="AG69" s="50">
        <f t="shared" si="108"/>
        <v>1</v>
      </c>
      <c r="AH69" s="3">
        <f t="shared" si="108"/>
        <v>0</v>
      </c>
      <c r="AI69" s="13">
        <f t="shared" si="108"/>
        <v>0</v>
      </c>
      <c r="AJ69" s="50">
        <f t="shared" si="108"/>
        <v>0</v>
      </c>
      <c r="AK69" s="3">
        <f t="shared" si="108"/>
        <v>2</v>
      </c>
      <c r="AL69" s="13">
        <f t="shared" si="108"/>
        <v>0</v>
      </c>
      <c r="AM69" s="50">
        <f t="shared" si="108"/>
        <v>2</v>
      </c>
      <c r="AN69" s="106"/>
      <c r="AO69" s="3">
        <f t="shared" si="108"/>
        <v>1</v>
      </c>
      <c r="AP69" s="13">
        <f t="shared" si="108"/>
        <v>0</v>
      </c>
      <c r="AQ69" s="50">
        <f t="shared" si="108"/>
        <v>1</v>
      </c>
      <c r="AR69" s="3">
        <f t="shared" si="108"/>
        <v>0</v>
      </c>
      <c r="AS69" s="13">
        <f t="shared" si="108"/>
        <v>0</v>
      </c>
      <c r="AT69" s="50">
        <f t="shared" si="108"/>
        <v>0</v>
      </c>
      <c r="AU69" s="3">
        <f t="shared" si="108"/>
        <v>0</v>
      </c>
      <c r="AV69" s="13">
        <f t="shared" si="108"/>
        <v>0</v>
      </c>
      <c r="AW69" s="50">
        <f t="shared" si="108"/>
        <v>0</v>
      </c>
      <c r="AX69" s="3">
        <f t="shared" si="108"/>
        <v>1</v>
      </c>
      <c r="AY69" s="13">
        <f t="shared" si="108"/>
        <v>0</v>
      </c>
      <c r="AZ69" s="50">
        <f t="shared" si="108"/>
        <v>1</v>
      </c>
      <c r="BA69" s="3">
        <f t="shared" si="108"/>
        <v>2</v>
      </c>
      <c r="BB69" s="13">
        <f t="shared" si="108"/>
        <v>0</v>
      </c>
      <c r="BC69" s="50">
        <f t="shared" si="108"/>
        <v>2</v>
      </c>
      <c r="BD69" s="106"/>
      <c r="BE69" s="3">
        <f t="shared" si="108"/>
        <v>31</v>
      </c>
      <c r="BF69" s="13">
        <f t="shared" si="108"/>
        <v>0</v>
      </c>
      <c r="BG69" s="50">
        <f t="shared" si="108"/>
        <v>31</v>
      </c>
      <c r="BH69" s="3">
        <f t="shared" si="108"/>
        <v>86</v>
      </c>
      <c r="BI69" s="13">
        <f t="shared" si="108"/>
        <v>0</v>
      </c>
      <c r="BJ69" s="50">
        <f t="shared" si="108"/>
        <v>86</v>
      </c>
      <c r="BK69" s="3">
        <f t="shared" si="108"/>
        <v>106</v>
      </c>
      <c r="BL69" s="13">
        <f t="shared" si="108"/>
        <v>0</v>
      </c>
      <c r="BM69" s="50">
        <f t="shared" si="108"/>
        <v>106</v>
      </c>
      <c r="BN69" s="3">
        <f t="shared" si="108"/>
        <v>105</v>
      </c>
      <c r="BO69" s="13">
        <f t="shared" si="108"/>
        <v>0</v>
      </c>
      <c r="BP69" s="50">
        <f t="shared" si="108"/>
        <v>105</v>
      </c>
      <c r="BQ69" s="3">
        <f t="shared" si="108"/>
        <v>328</v>
      </c>
      <c r="BR69" s="13">
        <f t="shared" si="108"/>
        <v>0</v>
      </c>
      <c r="BS69" s="50">
        <f t="shared" si="108"/>
        <v>328</v>
      </c>
      <c r="BT69" s="106"/>
      <c r="BU69" s="3">
        <f aca="true" t="shared" si="109" ref="BU69:CI69">SUM(BU67:BU68)</f>
        <v>97</v>
      </c>
      <c r="BV69" s="13">
        <f t="shared" si="109"/>
        <v>0</v>
      </c>
      <c r="BW69" s="50">
        <f t="shared" si="109"/>
        <v>97</v>
      </c>
      <c r="BX69" s="3">
        <f t="shared" si="109"/>
        <v>0</v>
      </c>
      <c r="BY69" s="13">
        <f t="shared" si="109"/>
        <v>0</v>
      </c>
      <c r="BZ69" s="50">
        <f t="shared" si="109"/>
        <v>0</v>
      </c>
      <c r="CA69" s="3">
        <f t="shared" si="109"/>
        <v>0</v>
      </c>
      <c r="CB69" s="13">
        <f t="shared" si="109"/>
        <v>0</v>
      </c>
      <c r="CC69" s="50">
        <f t="shared" si="109"/>
        <v>0</v>
      </c>
      <c r="CD69" s="3">
        <f t="shared" si="109"/>
        <v>0</v>
      </c>
      <c r="CE69" s="13">
        <f t="shared" si="109"/>
        <v>0</v>
      </c>
      <c r="CF69" s="50">
        <f t="shared" si="109"/>
        <v>0</v>
      </c>
      <c r="CG69" s="3">
        <f t="shared" si="109"/>
        <v>97</v>
      </c>
      <c r="CH69" s="13">
        <f t="shared" si="109"/>
        <v>0</v>
      </c>
      <c r="CI69" s="50">
        <f t="shared" si="109"/>
        <v>97</v>
      </c>
    </row>
    <row r="70" spans="1:87" ht="12.75">
      <c r="A70" s="7" t="s">
        <v>32</v>
      </c>
      <c r="B70" s="106"/>
      <c r="C70" s="17"/>
      <c r="D70" s="106"/>
      <c r="E70" s="94"/>
      <c r="F70" s="106"/>
      <c r="G70" s="94"/>
      <c r="H70" s="106"/>
      <c r="I70" s="17"/>
      <c r="J70" s="14"/>
      <c r="K70" s="49"/>
      <c r="L70" s="17"/>
      <c r="M70" s="14"/>
      <c r="N70" s="49"/>
      <c r="O70" s="17"/>
      <c r="P70" s="14"/>
      <c r="Q70" s="49"/>
      <c r="R70" s="17"/>
      <c r="S70" s="14"/>
      <c r="T70" s="49"/>
      <c r="U70" s="17"/>
      <c r="V70" s="14"/>
      <c r="W70" s="49"/>
      <c r="X70" s="106"/>
      <c r="Y70" s="94"/>
      <c r="Z70" s="14"/>
      <c r="AA70" s="49"/>
      <c r="AB70" s="17"/>
      <c r="AC70" s="14"/>
      <c r="AD70" s="49"/>
      <c r="AE70" s="17"/>
      <c r="AF70" s="14"/>
      <c r="AG70" s="49"/>
      <c r="AH70" s="17"/>
      <c r="AI70" s="14"/>
      <c r="AJ70" s="49"/>
      <c r="AK70" s="17"/>
      <c r="AL70" s="14"/>
      <c r="AM70" s="49"/>
      <c r="AN70" s="106"/>
      <c r="AO70" s="17"/>
      <c r="AP70" s="14"/>
      <c r="AQ70" s="49"/>
      <c r="AR70" s="17"/>
      <c r="AS70" s="14"/>
      <c r="AT70" s="49"/>
      <c r="AU70" s="17"/>
      <c r="AV70" s="14"/>
      <c r="AW70" s="49"/>
      <c r="AX70" s="17"/>
      <c r="AY70" s="14"/>
      <c r="AZ70" s="49"/>
      <c r="BA70" s="17"/>
      <c r="BB70" s="14"/>
      <c r="BC70" s="49"/>
      <c r="BD70" s="106"/>
      <c r="BE70" s="17"/>
      <c r="BF70" s="14"/>
      <c r="BG70" s="49"/>
      <c r="BH70" s="17"/>
      <c r="BI70" s="14"/>
      <c r="BJ70" s="49"/>
      <c r="BK70" s="17"/>
      <c r="BL70" s="14"/>
      <c r="BM70" s="49"/>
      <c r="BN70" s="17"/>
      <c r="BO70" s="14"/>
      <c r="BP70" s="49"/>
      <c r="BQ70" s="17"/>
      <c r="BR70" s="14"/>
      <c r="BS70" s="49"/>
      <c r="BT70" s="106"/>
      <c r="BU70" s="17"/>
      <c r="BV70" s="14"/>
      <c r="BW70" s="49"/>
      <c r="BX70" s="17"/>
      <c r="BY70" s="14"/>
      <c r="BZ70" s="49"/>
      <c r="CA70" s="17"/>
      <c r="CB70" s="14"/>
      <c r="CC70" s="49"/>
      <c r="CD70" s="17"/>
      <c r="CE70" s="14"/>
      <c r="CF70" s="49"/>
      <c r="CG70" s="17"/>
      <c r="CH70" s="14"/>
      <c r="CI70" s="49"/>
    </row>
    <row r="71" spans="1:87" ht="12.75">
      <c r="A71" s="8" t="s">
        <v>33</v>
      </c>
      <c r="B71" s="106"/>
      <c r="C71" s="17">
        <v>207</v>
      </c>
      <c r="D71" s="106"/>
      <c r="E71" s="94">
        <v>291</v>
      </c>
      <c r="F71" s="106"/>
      <c r="G71" s="94">
        <v>358</v>
      </c>
      <c r="H71" s="106"/>
      <c r="I71" s="17">
        <f>K71-J71</f>
        <v>80</v>
      </c>
      <c r="J71" s="14"/>
      <c r="K71" s="49">
        <v>80</v>
      </c>
      <c r="L71" s="17">
        <f>N71-M71</f>
        <v>97</v>
      </c>
      <c r="M71" s="14"/>
      <c r="N71" s="49">
        <v>97</v>
      </c>
      <c r="O71" s="17">
        <f>Q71-P71</f>
        <v>105</v>
      </c>
      <c r="P71" s="14"/>
      <c r="Q71" s="49">
        <v>105</v>
      </c>
      <c r="R71" s="17">
        <f>T71-S71</f>
        <v>125</v>
      </c>
      <c r="S71" s="14"/>
      <c r="T71" s="49">
        <v>125</v>
      </c>
      <c r="U71" s="17">
        <f>W71-V71</f>
        <v>407</v>
      </c>
      <c r="V71" s="14"/>
      <c r="W71" s="49">
        <f>K71+N71+Q71+T71</f>
        <v>407</v>
      </c>
      <c r="X71" s="106"/>
      <c r="Y71" s="94">
        <f>AA71-Z71</f>
        <v>159</v>
      </c>
      <c r="Z71" s="14"/>
      <c r="AA71" s="49">
        <v>159</v>
      </c>
      <c r="AB71" s="17">
        <f>AD71-AC71</f>
        <v>249</v>
      </c>
      <c r="AC71" s="14"/>
      <c r="AD71" s="49">
        <v>249</v>
      </c>
      <c r="AE71" s="17">
        <f>AG71-AF71</f>
        <v>128</v>
      </c>
      <c r="AF71" s="14"/>
      <c r="AG71" s="49">
        <v>128</v>
      </c>
      <c r="AH71" s="17">
        <f>AJ71-AI71</f>
        <v>159</v>
      </c>
      <c r="AI71" s="14"/>
      <c r="AJ71" s="49">
        <v>159</v>
      </c>
      <c r="AK71" s="17">
        <f>AM71-AL71</f>
        <v>695</v>
      </c>
      <c r="AL71" s="14"/>
      <c r="AM71" s="49">
        <f>AA71+AD71+AG71+AJ71</f>
        <v>695</v>
      </c>
      <c r="AN71" s="106"/>
      <c r="AO71" s="17">
        <f>AQ71-AP71</f>
        <v>157</v>
      </c>
      <c r="AP71" s="14"/>
      <c r="AQ71" s="49">
        <v>157</v>
      </c>
      <c r="AR71" s="17">
        <f>AT71-AS71</f>
        <v>166</v>
      </c>
      <c r="AS71" s="14"/>
      <c r="AT71" s="49">
        <f>323-157</f>
        <v>166</v>
      </c>
      <c r="AU71" s="17">
        <f>AW71-AV71</f>
        <v>141</v>
      </c>
      <c r="AV71" s="14"/>
      <c r="AW71" s="49">
        <f>464-166-157</f>
        <v>141</v>
      </c>
      <c r="AX71" s="17">
        <f>AZ71-AY71</f>
        <v>164</v>
      </c>
      <c r="AY71" s="14"/>
      <c r="AZ71" s="49">
        <v>164</v>
      </c>
      <c r="BA71" s="17">
        <f>BC71-BB71</f>
        <v>628</v>
      </c>
      <c r="BB71" s="14"/>
      <c r="BC71" s="49">
        <f>AQ71+AT71+AW71+AZ71</f>
        <v>628</v>
      </c>
      <c r="BD71" s="106"/>
      <c r="BE71" s="17">
        <f>BG71-BF71</f>
        <v>128</v>
      </c>
      <c r="BF71" s="14"/>
      <c r="BG71" s="49">
        <v>128</v>
      </c>
      <c r="BH71" s="17">
        <f>BJ71-BI71</f>
        <v>152</v>
      </c>
      <c r="BI71" s="14"/>
      <c r="BJ71" s="49">
        <f>280-128</f>
        <v>152</v>
      </c>
      <c r="BK71" s="17">
        <f>BM71-BL71</f>
        <v>131</v>
      </c>
      <c r="BL71" s="14"/>
      <c r="BM71" s="49">
        <f>411-280</f>
        <v>131</v>
      </c>
      <c r="BN71" s="17">
        <f>BP71-BO71</f>
        <v>186</v>
      </c>
      <c r="BO71" s="14"/>
      <c r="BP71" s="49">
        <v>186</v>
      </c>
      <c r="BQ71" s="17">
        <f>BS71-BR71</f>
        <v>597</v>
      </c>
      <c r="BR71" s="14"/>
      <c r="BS71" s="49">
        <f>BG71+BJ71+BM71+BP71</f>
        <v>597</v>
      </c>
      <c r="BT71" s="106"/>
      <c r="BU71" s="17">
        <f>BW71-BV71</f>
        <v>148</v>
      </c>
      <c r="BV71" s="14"/>
      <c r="BW71" s="49">
        <v>148</v>
      </c>
      <c r="BX71" s="17">
        <f>BZ71-BY71</f>
        <v>0</v>
      </c>
      <c r="BY71" s="14"/>
      <c r="BZ71" s="49"/>
      <c r="CA71" s="17">
        <f>CC71-CB71</f>
        <v>0</v>
      </c>
      <c r="CB71" s="14"/>
      <c r="CC71" s="49"/>
      <c r="CD71" s="17">
        <f>CF71-CE71</f>
        <v>0</v>
      </c>
      <c r="CE71" s="14"/>
      <c r="CF71" s="49"/>
      <c r="CG71" s="17">
        <f>CI71-CH71</f>
        <v>148</v>
      </c>
      <c r="CH71" s="14"/>
      <c r="CI71" s="49">
        <f>BW71+BZ71+CC71+CF71</f>
        <v>148</v>
      </c>
    </row>
    <row r="72" spans="1:87" ht="12.75">
      <c r="A72" s="8" t="s">
        <v>34</v>
      </c>
      <c r="B72" s="106"/>
      <c r="C72" s="17">
        <v>95</v>
      </c>
      <c r="D72" s="106"/>
      <c r="E72" s="94">
        <v>138</v>
      </c>
      <c r="F72" s="106"/>
      <c r="G72" s="94">
        <v>142</v>
      </c>
      <c r="H72" s="106"/>
      <c r="I72" s="17">
        <f>K72-J72</f>
        <v>40</v>
      </c>
      <c r="J72" s="14"/>
      <c r="K72" s="49">
        <v>40</v>
      </c>
      <c r="L72" s="17">
        <f>N72-M72</f>
        <v>46</v>
      </c>
      <c r="M72" s="14"/>
      <c r="N72" s="49">
        <v>46</v>
      </c>
      <c r="O72" s="17">
        <f>Q72-P72</f>
        <v>39</v>
      </c>
      <c r="P72" s="14"/>
      <c r="Q72" s="49">
        <v>39</v>
      </c>
      <c r="R72" s="17">
        <f>T72-S72</f>
        <v>55</v>
      </c>
      <c r="S72" s="14"/>
      <c r="T72" s="49">
        <v>55</v>
      </c>
      <c r="U72" s="17">
        <f>W72-V72</f>
        <v>180</v>
      </c>
      <c r="V72" s="14"/>
      <c r="W72" s="49">
        <f>K72+N72+Q72+T72</f>
        <v>180</v>
      </c>
      <c r="X72" s="106"/>
      <c r="Y72" s="94">
        <f>AA72-Z72</f>
        <v>45</v>
      </c>
      <c r="Z72" s="14"/>
      <c r="AA72" s="49">
        <v>45</v>
      </c>
      <c r="AB72" s="17">
        <f>AD72-AC72</f>
        <v>52</v>
      </c>
      <c r="AC72" s="14"/>
      <c r="AD72" s="49">
        <v>52</v>
      </c>
      <c r="AE72" s="17">
        <f>AG72-AF72</f>
        <v>72</v>
      </c>
      <c r="AF72" s="14"/>
      <c r="AG72" s="49">
        <v>72</v>
      </c>
      <c r="AH72" s="17">
        <f>AJ72-AI72</f>
        <v>71</v>
      </c>
      <c r="AI72" s="14"/>
      <c r="AJ72" s="49">
        <v>71</v>
      </c>
      <c r="AK72" s="17">
        <f>AM72-AL72</f>
        <v>240</v>
      </c>
      <c r="AL72" s="14"/>
      <c r="AM72" s="49">
        <f>AA72+AD72+AG72+AJ72</f>
        <v>240</v>
      </c>
      <c r="AN72" s="106"/>
      <c r="AO72" s="17">
        <f>AQ72-AP72</f>
        <v>52</v>
      </c>
      <c r="AP72" s="14"/>
      <c r="AQ72" s="49">
        <v>52</v>
      </c>
      <c r="AR72" s="17">
        <f>AT72-AS72</f>
        <v>58</v>
      </c>
      <c r="AS72" s="14"/>
      <c r="AT72" s="49">
        <f>110-52</f>
        <v>58</v>
      </c>
      <c r="AU72" s="17">
        <f>AW72-AV72</f>
        <v>69</v>
      </c>
      <c r="AV72" s="14"/>
      <c r="AW72" s="49">
        <f>179-58-52</f>
        <v>69</v>
      </c>
      <c r="AX72" s="17">
        <f>AZ72-AY72</f>
        <v>71</v>
      </c>
      <c r="AY72" s="14"/>
      <c r="AZ72" s="49">
        <f>250-179</f>
        <v>71</v>
      </c>
      <c r="BA72" s="17">
        <f>BC72-BB72</f>
        <v>250</v>
      </c>
      <c r="BB72" s="14"/>
      <c r="BC72" s="49">
        <f>AQ72+AT72+AW72+AZ72</f>
        <v>250</v>
      </c>
      <c r="BD72" s="106"/>
      <c r="BE72" s="17">
        <f>BG72-BF72</f>
        <v>61</v>
      </c>
      <c r="BF72" s="14"/>
      <c r="BG72" s="49">
        <v>61</v>
      </c>
      <c r="BH72" s="17">
        <f>BJ72-BI72</f>
        <v>70</v>
      </c>
      <c r="BI72" s="14"/>
      <c r="BJ72" s="49">
        <f>131-61</f>
        <v>70</v>
      </c>
      <c r="BK72" s="17">
        <f>BM72-BL72</f>
        <v>71</v>
      </c>
      <c r="BL72" s="14"/>
      <c r="BM72" s="49">
        <f>202-131</f>
        <v>71</v>
      </c>
      <c r="BN72" s="17">
        <f>BP72-BO72</f>
        <v>93</v>
      </c>
      <c r="BO72" s="14"/>
      <c r="BP72" s="49">
        <v>93</v>
      </c>
      <c r="BQ72" s="17">
        <f>BS72-BR72</f>
        <v>295</v>
      </c>
      <c r="BR72" s="14"/>
      <c r="BS72" s="49">
        <f>BG72+BJ72+BM72+BP72</f>
        <v>295</v>
      </c>
      <c r="BT72" s="106"/>
      <c r="BU72" s="17">
        <f>BW72-BV72</f>
        <v>73</v>
      </c>
      <c r="BV72" s="14"/>
      <c r="BW72" s="49">
        <v>73</v>
      </c>
      <c r="BX72" s="17">
        <f>BZ72-BY72</f>
        <v>0</v>
      </c>
      <c r="BY72" s="14"/>
      <c r="BZ72" s="49"/>
      <c r="CA72" s="17">
        <f>CC72-CB72</f>
        <v>0</v>
      </c>
      <c r="CB72" s="14"/>
      <c r="CC72" s="49"/>
      <c r="CD72" s="17">
        <f>CF72-CE72</f>
        <v>0</v>
      </c>
      <c r="CE72" s="14"/>
      <c r="CF72" s="49"/>
      <c r="CG72" s="17">
        <f>CI72-CH72</f>
        <v>73</v>
      </c>
      <c r="CH72" s="14"/>
      <c r="CI72" s="49">
        <f>BW72+BZ72+CC72+CF72</f>
        <v>73</v>
      </c>
    </row>
    <row r="73" spans="1:87" ht="12.75">
      <c r="A73" s="8" t="s">
        <v>35</v>
      </c>
      <c r="B73" s="106"/>
      <c r="C73" s="17">
        <f>E73-D73</f>
        <v>0</v>
      </c>
      <c r="D73" s="106"/>
      <c r="E73" s="94">
        <f>G73-F73</f>
        <v>0</v>
      </c>
      <c r="F73" s="106"/>
      <c r="G73" s="94">
        <f>I73-H73</f>
        <v>0</v>
      </c>
      <c r="H73" s="106"/>
      <c r="I73" s="17">
        <f>K73-J73</f>
        <v>0</v>
      </c>
      <c r="J73" s="14"/>
      <c r="K73" s="49">
        <v>0</v>
      </c>
      <c r="L73" s="17">
        <f>N73-M73</f>
        <v>0</v>
      </c>
      <c r="M73" s="14"/>
      <c r="N73" s="49">
        <v>0</v>
      </c>
      <c r="O73" s="17">
        <f>Q73-P73</f>
        <v>0</v>
      </c>
      <c r="P73" s="14"/>
      <c r="Q73" s="49">
        <v>0</v>
      </c>
      <c r="R73" s="17">
        <f>T73-S73</f>
        <v>0</v>
      </c>
      <c r="S73" s="14"/>
      <c r="T73" s="49">
        <v>0</v>
      </c>
      <c r="U73" s="17">
        <f>W73-V73</f>
        <v>0</v>
      </c>
      <c r="V73" s="14"/>
      <c r="W73" s="49">
        <f>K73+N73+Q73+T73</f>
        <v>0</v>
      </c>
      <c r="X73" s="106"/>
      <c r="Y73" s="94">
        <f>AA73-Z73</f>
        <v>0</v>
      </c>
      <c r="Z73" s="14"/>
      <c r="AA73" s="49">
        <v>0</v>
      </c>
      <c r="AB73" s="17">
        <f>AD73-AC73</f>
        <v>0</v>
      </c>
      <c r="AC73" s="14"/>
      <c r="AD73" s="49">
        <v>0</v>
      </c>
      <c r="AE73" s="17">
        <f>AG73-AF73</f>
        <v>0</v>
      </c>
      <c r="AF73" s="14"/>
      <c r="AG73" s="49">
        <v>0</v>
      </c>
      <c r="AH73" s="17">
        <f>AJ73-AI73</f>
        <v>0</v>
      </c>
      <c r="AI73" s="14"/>
      <c r="AJ73" s="49">
        <v>0</v>
      </c>
      <c r="AK73" s="17">
        <f>AM73-AL73</f>
        <v>0</v>
      </c>
      <c r="AL73" s="14"/>
      <c r="AM73" s="49">
        <f>AA73+AD73+AG73+AJ73</f>
        <v>0</v>
      </c>
      <c r="AN73" s="106"/>
      <c r="AO73" s="17">
        <f>AQ73-AP73</f>
        <v>0</v>
      </c>
      <c r="AP73" s="14"/>
      <c r="AQ73" s="49">
        <v>0</v>
      </c>
      <c r="AR73" s="17">
        <f>AT73-AS73</f>
        <v>0</v>
      </c>
      <c r="AS73" s="14"/>
      <c r="AT73" s="49">
        <v>0</v>
      </c>
      <c r="AU73" s="17">
        <f>AW73-AV73</f>
        <v>0</v>
      </c>
      <c r="AV73" s="14"/>
      <c r="AW73" s="49">
        <v>0</v>
      </c>
      <c r="AX73" s="17">
        <f>AZ73-AY73</f>
        <v>0</v>
      </c>
      <c r="AY73" s="14"/>
      <c r="AZ73" s="49">
        <v>0</v>
      </c>
      <c r="BA73" s="17">
        <f>BC73-BB73</f>
        <v>0</v>
      </c>
      <c r="BB73" s="14"/>
      <c r="BC73" s="49">
        <f>AQ73+AT73+AW73+AZ73</f>
        <v>0</v>
      </c>
      <c r="BD73" s="106"/>
      <c r="BE73" s="17">
        <f>BG73-BF73</f>
        <v>0</v>
      </c>
      <c r="BF73" s="14"/>
      <c r="BG73" s="49">
        <v>0</v>
      </c>
      <c r="BH73" s="17">
        <f>BJ73-BI73</f>
        <v>0</v>
      </c>
      <c r="BI73" s="14"/>
      <c r="BJ73" s="49">
        <v>0</v>
      </c>
      <c r="BK73" s="17">
        <f>BM73-BL73</f>
        <v>0</v>
      </c>
      <c r="BL73" s="14"/>
      <c r="BM73" s="49">
        <v>0</v>
      </c>
      <c r="BN73" s="17">
        <f>BP73-BO73</f>
        <v>0</v>
      </c>
      <c r="BO73" s="14"/>
      <c r="BP73" s="49">
        <v>0</v>
      </c>
      <c r="BQ73" s="17">
        <f>BS73-BR73</f>
        <v>0</v>
      </c>
      <c r="BR73" s="14"/>
      <c r="BS73" s="49">
        <f>BG73+BJ73+BM73+BP73</f>
        <v>0</v>
      </c>
      <c r="BT73" s="106"/>
      <c r="BU73" s="17">
        <f>BW73-BV73</f>
        <v>0</v>
      </c>
      <c r="BV73" s="14"/>
      <c r="BW73" s="49"/>
      <c r="BX73" s="17">
        <f>BZ73-BY73</f>
        <v>0</v>
      </c>
      <c r="BY73" s="14"/>
      <c r="BZ73" s="49"/>
      <c r="CA73" s="17">
        <f>CC73-CB73</f>
        <v>0</v>
      </c>
      <c r="CB73" s="14"/>
      <c r="CC73" s="49"/>
      <c r="CD73" s="17">
        <f>CF73-CE73</f>
        <v>0</v>
      </c>
      <c r="CE73" s="14"/>
      <c r="CF73" s="49"/>
      <c r="CG73" s="17">
        <f>CI73-CH73</f>
        <v>0</v>
      </c>
      <c r="CH73" s="14"/>
      <c r="CI73" s="49">
        <f>BW73+BZ73+CC73+CF73</f>
        <v>0</v>
      </c>
    </row>
    <row r="74" spans="1:87" ht="12.75">
      <c r="A74" s="8" t="s">
        <v>73</v>
      </c>
      <c r="B74" s="106"/>
      <c r="C74" s="17">
        <f>E74-D74</f>
        <v>0</v>
      </c>
      <c r="D74" s="106"/>
      <c r="E74" s="94">
        <f>G74-F74</f>
        <v>0</v>
      </c>
      <c r="F74" s="106"/>
      <c r="G74" s="94">
        <f>I74-H74</f>
        <v>0</v>
      </c>
      <c r="H74" s="106"/>
      <c r="I74" s="17">
        <f>K74-J74</f>
        <v>0</v>
      </c>
      <c r="J74" s="14"/>
      <c r="K74" s="49">
        <v>0</v>
      </c>
      <c r="L74" s="17">
        <f>N74-M74</f>
        <v>0</v>
      </c>
      <c r="M74" s="14"/>
      <c r="N74" s="49">
        <v>0</v>
      </c>
      <c r="O74" s="17">
        <f>Q74-P74</f>
        <v>0</v>
      </c>
      <c r="P74" s="14"/>
      <c r="Q74" s="49">
        <v>0</v>
      </c>
      <c r="R74" s="17">
        <f>T74-S74</f>
        <v>0</v>
      </c>
      <c r="S74" s="14"/>
      <c r="T74" s="49">
        <v>0</v>
      </c>
      <c r="U74" s="17">
        <f>W74-V74</f>
        <v>0</v>
      </c>
      <c r="V74" s="14"/>
      <c r="W74" s="49">
        <f>K74+N74+Q74+T74</f>
        <v>0</v>
      </c>
      <c r="X74" s="106"/>
      <c r="Y74" s="94">
        <f>AA74-Z74</f>
        <v>0</v>
      </c>
      <c r="Z74" s="14"/>
      <c r="AA74" s="49">
        <v>0</v>
      </c>
      <c r="AB74" s="17">
        <f>AD74-AC74</f>
        <v>0</v>
      </c>
      <c r="AC74" s="14"/>
      <c r="AD74" s="49">
        <v>0</v>
      </c>
      <c r="AE74" s="17">
        <f>AG74-AF74</f>
        <v>0</v>
      </c>
      <c r="AF74" s="14"/>
      <c r="AG74" s="49">
        <v>0</v>
      </c>
      <c r="AH74" s="17">
        <f>AJ74-AI74</f>
        <v>0</v>
      </c>
      <c r="AI74" s="14"/>
      <c r="AJ74" s="49">
        <v>0</v>
      </c>
      <c r="AK74" s="17">
        <f>AM74-AL74</f>
        <v>0</v>
      </c>
      <c r="AL74" s="14"/>
      <c r="AM74" s="49">
        <f>AA74+AD74+AG74+AJ74</f>
        <v>0</v>
      </c>
      <c r="AN74" s="106"/>
      <c r="AO74" s="17">
        <f>AQ74-AP74</f>
        <v>0</v>
      </c>
      <c r="AP74" s="14"/>
      <c r="AQ74" s="49">
        <v>0</v>
      </c>
      <c r="AR74" s="17">
        <f>AT74-AS74</f>
        <v>0</v>
      </c>
      <c r="AS74" s="14"/>
      <c r="AT74" s="49">
        <v>0</v>
      </c>
      <c r="AU74" s="17">
        <f>AW74-AV74</f>
        <v>0</v>
      </c>
      <c r="AV74" s="14"/>
      <c r="AW74" s="49">
        <v>0</v>
      </c>
      <c r="AX74" s="17">
        <f>AZ74-AY74</f>
        <v>0</v>
      </c>
      <c r="AY74" s="14"/>
      <c r="AZ74" s="49">
        <v>0</v>
      </c>
      <c r="BA74" s="17">
        <f>BC74-BB74</f>
        <v>0</v>
      </c>
      <c r="BB74" s="14"/>
      <c r="BC74" s="49">
        <f>AQ74+AT74+AW74+AZ74</f>
        <v>0</v>
      </c>
      <c r="BD74" s="106"/>
      <c r="BE74" s="17">
        <f>BG74-BF74</f>
        <v>0</v>
      </c>
      <c r="BF74" s="14"/>
      <c r="BG74" s="49">
        <v>0</v>
      </c>
      <c r="BH74" s="17">
        <f>BJ74-BI74</f>
        <v>0</v>
      </c>
      <c r="BI74" s="14"/>
      <c r="BJ74" s="49">
        <v>0</v>
      </c>
      <c r="BK74" s="17">
        <f>BM74-BL74</f>
        <v>0</v>
      </c>
      <c r="BL74" s="14"/>
      <c r="BM74" s="49">
        <v>0</v>
      </c>
      <c r="BN74" s="17">
        <f>BP74-BO74</f>
        <v>0</v>
      </c>
      <c r="BO74" s="14"/>
      <c r="BP74" s="49">
        <v>0</v>
      </c>
      <c r="BQ74" s="17">
        <f>BS74-BR74</f>
        <v>0</v>
      </c>
      <c r="BR74" s="14"/>
      <c r="BS74" s="49">
        <f>BG74+BJ74+BM74+BP74</f>
        <v>0</v>
      </c>
      <c r="BT74" s="106"/>
      <c r="BU74" s="17">
        <f>BW74-BV74</f>
        <v>0</v>
      </c>
      <c r="BV74" s="14"/>
      <c r="BW74" s="49"/>
      <c r="BX74" s="17">
        <f>BZ74-BY74</f>
        <v>0</v>
      </c>
      <c r="BY74" s="14"/>
      <c r="BZ74" s="49"/>
      <c r="CA74" s="17">
        <f>CC74-CB74</f>
        <v>0</v>
      </c>
      <c r="CB74" s="14"/>
      <c r="CC74" s="49"/>
      <c r="CD74" s="17">
        <f>CF74-CE74</f>
        <v>0</v>
      </c>
      <c r="CE74" s="14"/>
      <c r="CF74" s="49"/>
      <c r="CG74" s="17">
        <f>CI74-CH74</f>
        <v>0</v>
      </c>
      <c r="CH74" s="14"/>
      <c r="CI74" s="49">
        <f>BW74+BZ74+CC74+CF74</f>
        <v>0</v>
      </c>
    </row>
    <row r="75" spans="1:87" ht="12.75">
      <c r="A75" s="8" t="s">
        <v>36</v>
      </c>
      <c r="B75" s="106"/>
      <c r="C75" s="17">
        <v>3</v>
      </c>
      <c r="D75" s="106"/>
      <c r="E75" s="94">
        <v>6</v>
      </c>
      <c r="F75" s="106"/>
      <c r="G75" s="94">
        <v>9</v>
      </c>
      <c r="H75" s="106"/>
      <c r="I75" s="17">
        <f>K75-J75</f>
        <v>4</v>
      </c>
      <c r="J75" s="14"/>
      <c r="K75" s="49">
        <v>4</v>
      </c>
      <c r="L75" s="17">
        <f>N75-M75</f>
        <v>4</v>
      </c>
      <c r="M75" s="14"/>
      <c r="N75" s="49">
        <v>4</v>
      </c>
      <c r="O75" s="17">
        <f>Q75-P75</f>
        <v>4</v>
      </c>
      <c r="P75" s="14"/>
      <c r="Q75" s="49">
        <v>4</v>
      </c>
      <c r="R75" s="17">
        <f>T75-S75</f>
        <v>3</v>
      </c>
      <c r="S75" s="14"/>
      <c r="T75" s="49">
        <v>3</v>
      </c>
      <c r="U75" s="17">
        <f>W75-V75</f>
        <v>15</v>
      </c>
      <c r="V75" s="14"/>
      <c r="W75" s="49">
        <f>K75+N75+Q75+T75</f>
        <v>15</v>
      </c>
      <c r="X75" s="106"/>
      <c r="Y75" s="94">
        <f>AA75-Z75</f>
        <v>3</v>
      </c>
      <c r="Z75" s="14"/>
      <c r="AA75" s="49">
        <v>3</v>
      </c>
      <c r="AB75" s="17">
        <f>AD75-AC75</f>
        <v>4</v>
      </c>
      <c r="AC75" s="14"/>
      <c r="AD75" s="49">
        <v>4</v>
      </c>
      <c r="AE75" s="17">
        <f>AG75-AF75</f>
        <v>5</v>
      </c>
      <c r="AF75" s="14"/>
      <c r="AG75" s="49">
        <v>5</v>
      </c>
      <c r="AH75" s="17">
        <f>AJ75-AI75</f>
        <v>3</v>
      </c>
      <c r="AI75" s="14"/>
      <c r="AJ75" s="49">
        <v>3</v>
      </c>
      <c r="AK75" s="17">
        <f>AM75-AL75</f>
        <v>15</v>
      </c>
      <c r="AL75" s="14"/>
      <c r="AM75" s="49">
        <f>AA75+AD75+AG75+AJ75</f>
        <v>15</v>
      </c>
      <c r="AN75" s="106"/>
      <c r="AO75" s="17">
        <f>AQ75-AP75</f>
        <v>3</v>
      </c>
      <c r="AP75" s="14"/>
      <c r="AQ75" s="49">
        <v>3</v>
      </c>
      <c r="AR75" s="17">
        <f>AT75-AS75</f>
        <v>5</v>
      </c>
      <c r="AS75" s="14"/>
      <c r="AT75" s="49">
        <f>8-3</f>
        <v>5</v>
      </c>
      <c r="AU75" s="17">
        <f>AW75-AV75</f>
        <v>4</v>
      </c>
      <c r="AV75" s="14"/>
      <c r="AW75" s="49">
        <f>12-5-3</f>
        <v>4</v>
      </c>
      <c r="AX75" s="17">
        <f>AZ75-AY75</f>
        <v>3</v>
      </c>
      <c r="AY75" s="14"/>
      <c r="AZ75" s="49">
        <f>15-12</f>
        <v>3</v>
      </c>
      <c r="BA75" s="17">
        <f>BC75-BB75</f>
        <v>15</v>
      </c>
      <c r="BB75" s="14"/>
      <c r="BC75" s="49">
        <f>AQ75+AT75+AW75+AZ75</f>
        <v>15</v>
      </c>
      <c r="BD75" s="106"/>
      <c r="BE75" s="17">
        <f>BG75-BF75</f>
        <v>3</v>
      </c>
      <c r="BF75" s="14"/>
      <c r="BG75" s="49">
        <v>3</v>
      </c>
      <c r="BH75" s="17">
        <f>BJ75-BI75</f>
        <v>5</v>
      </c>
      <c r="BI75" s="14"/>
      <c r="BJ75" s="49">
        <f>8-3</f>
        <v>5</v>
      </c>
      <c r="BK75" s="17">
        <f>BM75-BL75</f>
        <v>4</v>
      </c>
      <c r="BL75" s="14"/>
      <c r="BM75" s="49">
        <f>12-8</f>
        <v>4</v>
      </c>
      <c r="BN75" s="17">
        <f>BP75-BO75</f>
        <v>6</v>
      </c>
      <c r="BO75" s="14"/>
      <c r="BP75" s="49">
        <v>6</v>
      </c>
      <c r="BQ75" s="17">
        <f>BS75-BR75</f>
        <v>18</v>
      </c>
      <c r="BR75" s="14"/>
      <c r="BS75" s="49">
        <f>BG75+BJ75+BM75+BP75</f>
        <v>18</v>
      </c>
      <c r="BT75" s="106"/>
      <c r="BU75" s="17">
        <f>BW75-BV75</f>
        <v>3</v>
      </c>
      <c r="BV75" s="14"/>
      <c r="BW75" s="49">
        <v>3</v>
      </c>
      <c r="BX75" s="17">
        <f>BZ75-BY75</f>
        <v>0</v>
      </c>
      <c r="BY75" s="14"/>
      <c r="BZ75" s="49"/>
      <c r="CA75" s="17">
        <f>CC75-CB75</f>
        <v>0</v>
      </c>
      <c r="CB75" s="14"/>
      <c r="CC75" s="49"/>
      <c r="CD75" s="17">
        <f>CF75-CE75</f>
        <v>0</v>
      </c>
      <c r="CE75" s="14"/>
      <c r="CF75" s="49"/>
      <c r="CG75" s="17">
        <f>CI75-CH75</f>
        <v>3</v>
      </c>
      <c r="CH75" s="14"/>
      <c r="CI75" s="49">
        <f>BW75+BZ75+CC75+CF75</f>
        <v>3</v>
      </c>
    </row>
    <row r="76" spans="1:87" ht="12.75">
      <c r="A76" s="9" t="s">
        <v>30</v>
      </c>
      <c r="B76" s="106"/>
      <c r="C76" s="3">
        <f>SUM(C71:C75)</f>
        <v>305</v>
      </c>
      <c r="D76" s="106"/>
      <c r="E76" s="13">
        <f>SUM(E71:E75)</f>
        <v>435</v>
      </c>
      <c r="F76" s="106"/>
      <c r="G76" s="13">
        <f>SUM(G71:G75)</f>
        <v>509</v>
      </c>
      <c r="H76" s="106"/>
      <c r="I76" s="3">
        <f aca="true" t="shared" si="110" ref="I76:W76">SUM(I71:I75)</f>
        <v>124</v>
      </c>
      <c r="J76" s="13">
        <f t="shared" si="110"/>
        <v>0</v>
      </c>
      <c r="K76" s="50">
        <f t="shared" si="110"/>
        <v>124</v>
      </c>
      <c r="L76" s="3">
        <f t="shared" si="110"/>
        <v>147</v>
      </c>
      <c r="M76" s="13">
        <f t="shared" si="110"/>
        <v>0</v>
      </c>
      <c r="N76" s="50">
        <f t="shared" si="110"/>
        <v>147</v>
      </c>
      <c r="O76" s="3">
        <f t="shared" si="110"/>
        <v>148</v>
      </c>
      <c r="P76" s="13">
        <f t="shared" si="110"/>
        <v>0</v>
      </c>
      <c r="Q76" s="50">
        <f t="shared" si="110"/>
        <v>148</v>
      </c>
      <c r="R76" s="3">
        <f t="shared" si="110"/>
        <v>183</v>
      </c>
      <c r="S76" s="13">
        <f t="shared" si="110"/>
        <v>0</v>
      </c>
      <c r="T76" s="50">
        <f t="shared" si="110"/>
        <v>183</v>
      </c>
      <c r="U76" s="3">
        <f t="shared" si="110"/>
        <v>602</v>
      </c>
      <c r="V76" s="13">
        <f t="shared" si="110"/>
        <v>0</v>
      </c>
      <c r="W76" s="50">
        <f t="shared" si="110"/>
        <v>602</v>
      </c>
      <c r="X76" s="106"/>
      <c r="Y76" s="13">
        <f aca="true" t="shared" si="111" ref="Y76:BS76">SUM(Y71:Y75)</f>
        <v>207</v>
      </c>
      <c r="Z76" s="13">
        <f t="shared" si="111"/>
        <v>0</v>
      </c>
      <c r="AA76" s="50">
        <f t="shared" si="111"/>
        <v>207</v>
      </c>
      <c r="AB76" s="3">
        <f t="shared" si="111"/>
        <v>305</v>
      </c>
      <c r="AC76" s="13">
        <f t="shared" si="111"/>
        <v>0</v>
      </c>
      <c r="AD76" s="50">
        <f t="shared" si="111"/>
        <v>305</v>
      </c>
      <c r="AE76" s="3">
        <f t="shared" si="111"/>
        <v>205</v>
      </c>
      <c r="AF76" s="13">
        <f t="shared" si="111"/>
        <v>0</v>
      </c>
      <c r="AG76" s="50">
        <f t="shared" si="111"/>
        <v>205</v>
      </c>
      <c r="AH76" s="3">
        <f t="shared" si="111"/>
        <v>233</v>
      </c>
      <c r="AI76" s="13">
        <f t="shared" si="111"/>
        <v>0</v>
      </c>
      <c r="AJ76" s="50">
        <f t="shared" si="111"/>
        <v>233</v>
      </c>
      <c r="AK76" s="3">
        <f t="shared" si="111"/>
        <v>950</v>
      </c>
      <c r="AL76" s="13">
        <f t="shared" si="111"/>
        <v>0</v>
      </c>
      <c r="AM76" s="50">
        <f t="shared" si="111"/>
        <v>950</v>
      </c>
      <c r="AN76" s="106"/>
      <c r="AO76" s="3">
        <f t="shared" si="111"/>
        <v>212</v>
      </c>
      <c r="AP76" s="13">
        <f t="shared" si="111"/>
        <v>0</v>
      </c>
      <c r="AQ76" s="50">
        <f t="shared" si="111"/>
        <v>212</v>
      </c>
      <c r="AR76" s="3">
        <f t="shared" si="111"/>
        <v>229</v>
      </c>
      <c r="AS76" s="13">
        <f t="shared" si="111"/>
        <v>0</v>
      </c>
      <c r="AT76" s="50">
        <f t="shared" si="111"/>
        <v>229</v>
      </c>
      <c r="AU76" s="3">
        <f t="shared" si="111"/>
        <v>214</v>
      </c>
      <c r="AV76" s="13">
        <f t="shared" si="111"/>
        <v>0</v>
      </c>
      <c r="AW76" s="50">
        <f t="shared" si="111"/>
        <v>214</v>
      </c>
      <c r="AX76" s="3">
        <f t="shared" si="111"/>
        <v>238</v>
      </c>
      <c r="AY76" s="13">
        <f t="shared" si="111"/>
        <v>0</v>
      </c>
      <c r="AZ76" s="50">
        <f t="shared" si="111"/>
        <v>238</v>
      </c>
      <c r="BA76" s="3">
        <f t="shared" si="111"/>
        <v>893</v>
      </c>
      <c r="BB76" s="13">
        <f t="shared" si="111"/>
        <v>0</v>
      </c>
      <c r="BC76" s="50">
        <f t="shared" si="111"/>
        <v>893</v>
      </c>
      <c r="BD76" s="106"/>
      <c r="BE76" s="3">
        <f t="shared" si="111"/>
        <v>192</v>
      </c>
      <c r="BF76" s="13">
        <f t="shared" si="111"/>
        <v>0</v>
      </c>
      <c r="BG76" s="50">
        <f t="shared" si="111"/>
        <v>192</v>
      </c>
      <c r="BH76" s="3">
        <f t="shared" si="111"/>
        <v>227</v>
      </c>
      <c r="BI76" s="13">
        <f t="shared" si="111"/>
        <v>0</v>
      </c>
      <c r="BJ76" s="50">
        <f t="shared" si="111"/>
        <v>227</v>
      </c>
      <c r="BK76" s="3">
        <f t="shared" si="111"/>
        <v>206</v>
      </c>
      <c r="BL76" s="13">
        <f t="shared" si="111"/>
        <v>0</v>
      </c>
      <c r="BM76" s="50">
        <f t="shared" si="111"/>
        <v>206</v>
      </c>
      <c r="BN76" s="3">
        <f t="shared" si="111"/>
        <v>285</v>
      </c>
      <c r="BO76" s="13">
        <f t="shared" si="111"/>
        <v>0</v>
      </c>
      <c r="BP76" s="50">
        <f t="shared" si="111"/>
        <v>285</v>
      </c>
      <c r="BQ76" s="3">
        <f t="shared" si="111"/>
        <v>910</v>
      </c>
      <c r="BR76" s="13">
        <f t="shared" si="111"/>
        <v>0</v>
      </c>
      <c r="BS76" s="50">
        <f t="shared" si="111"/>
        <v>910</v>
      </c>
      <c r="BT76" s="106"/>
      <c r="BU76" s="3">
        <f aca="true" t="shared" si="112" ref="BU76:CI76">SUM(BU71:BU75)</f>
        <v>224</v>
      </c>
      <c r="BV76" s="13">
        <f t="shared" si="112"/>
        <v>0</v>
      </c>
      <c r="BW76" s="50">
        <f t="shared" si="112"/>
        <v>224</v>
      </c>
      <c r="BX76" s="3">
        <f t="shared" si="112"/>
        <v>0</v>
      </c>
      <c r="BY76" s="13">
        <f t="shared" si="112"/>
        <v>0</v>
      </c>
      <c r="BZ76" s="50">
        <f t="shared" si="112"/>
        <v>0</v>
      </c>
      <c r="CA76" s="3">
        <f t="shared" si="112"/>
        <v>0</v>
      </c>
      <c r="CB76" s="13">
        <f t="shared" si="112"/>
        <v>0</v>
      </c>
      <c r="CC76" s="50">
        <f t="shared" si="112"/>
        <v>0</v>
      </c>
      <c r="CD76" s="3">
        <f t="shared" si="112"/>
        <v>0</v>
      </c>
      <c r="CE76" s="13">
        <f t="shared" si="112"/>
        <v>0</v>
      </c>
      <c r="CF76" s="50">
        <f t="shared" si="112"/>
        <v>0</v>
      </c>
      <c r="CG76" s="3">
        <f t="shared" si="112"/>
        <v>224</v>
      </c>
      <c r="CH76" s="13">
        <f t="shared" si="112"/>
        <v>0</v>
      </c>
      <c r="CI76" s="50">
        <f t="shared" si="112"/>
        <v>224</v>
      </c>
    </row>
    <row r="77" spans="1:87" ht="12.75">
      <c r="A77" s="7" t="s">
        <v>58</v>
      </c>
      <c r="B77" s="106"/>
      <c r="C77" s="17"/>
      <c r="D77" s="106"/>
      <c r="E77" s="94"/>
      <c r="F77" s="106"/>
      <c r="G77" s="94"/>
      <c r="H77" s="106"/>
      <c r="I77" s="17"/>
      <c r="J77" s="14"/>
      <c r="K77" s="49"/>
      <c r="L77" s="17"/>
      <c r="M77" s="14"/>
      <c r="N77" s="49"/>
      <c r="O77" s="17"/>
      <c r="P77" s="14"/>
      <c r="Q77" s="49"/>
      <c r="R77" s="17"/>
      <c r="S77" s="14"/>
      <c r="T77" s="49"/>
      <c r="U77" s="17"/>
      <c r="V77" s="14"/>
      <c r="W77" s="49"/>
      <c r="X77" s="106"/>
      <c r="Y77" s="94"/>
      <c r="Z77" s="14"/>
      <c r="AA77" s="49"/>
      <c r="AB77" s="17"/>
      <c r="AC77" s="14"/>
      <c r="AD77" s="49"/>
      <c r="AE77" s="17"/>
      <c r="AF77" s="14"/>
      <c r="AG77" s="49"/>
      <c r="AH77" s="17"/>
      <c r="AI77" s="14"/>
      <c r="AJ77" s="49"/>
      <c r="AK77" s="17"/>
      <c r="AL77" s="14"/>
      <c r="AM77" s="49"/>
      <c r="AN77" s="106"/>
      <c r="AO77" s="17"/>
      <c r="AP77" s="14"/>
      <c r="AQ77" s="49"/>
      <c r="AR77" s="17"/>
      <c r="AS77" s="14"/>
      <c r="AT77" s="49"/>
      <c r="AU77" s="17"/>
      <c r="AV77" s="14"/>
      <c r="AW77" s="49"/>
      <c r="AX77" s="17"/>
      <c r="AY77" s="14"/>
      <c r="AZ77" s="49"/>
      <c r="BA77" s="17"/>
      <c r="BB77" s="14"/>
      <c r="BC77" s="49"/>
      <c r="BD77" s="106"/>
      <c r="BE77" s="17"/>
      <c r="BF77" s="14"/>
      <c r="BG77" s="49"/>
      <c r="BH77" s="17"/>
      <c r="BI77" s="14"/>
      <c r="BJ77" s="49"/>
      <c r="BK77" s="17"/>
      <c r="BL77" s="14"/>
      <c r="BM77" s="49"/>
      <c r="BN77" s="17"/>
      <c r="BO77" s="14"/>
      <c r="BP77" s="49"/>
      <c r="BQ77" s="17"/>
      <c r="BR77" s="14"/>
      <c r="BS77" s="49"/>
      <c r="BT77" s="106"/>
      <c r="BU77" s="17"/>
      <c r="BV77" s="14"/>
      <c r="BW77" s="49"/>
      <c r="BX77" s="17"/>
      <c r="BY77" s="14"/>
      <c r="BZ77" s="49"/>
      <c r="CA77" s="17"/>
      <c r="CB77" s="14"/>
      <c r="CC77" s="49"/>
      <c r="CD77" s="17"/>
      <c r="CE77" s="14"/>
      <c r="CF77" s="49"/>
      <c r="CG77" s="17"/>
      <c r="CH77" s="14"/>
      <c r="CI77" s="49"/>
    </row>
    <row r="78" spans="1:87" ht="12.75">
      <c r="A78" s="8" t="s">
        <v>33</v>
      </c>
      <c r="B78" s="106"/>
      <c r="C78" s="17">
        <v>93</v>
      </c>
      <c r="D78" s="106"/>
      <c r="E78" s="94">
        <v>143</v>
      </c>
      <c r="F78" s="106"/>
      <c r="G78" s="94">
        <v>137</v>
      </c>
      <c r="H78" s="106"/>
      <c r="I78" s="17">
        <f>K78-J78</f>
        <v>28</v>
      </c>
      <c r="J78" s="14"/>
      <c r="K78" s="49">
        <v>28</v>
      </c>
      <c r="L78" s="17">
        <f>N78-M78</f>
        <v>34</v>
      </c>
      <c r="M78" s="14"/>
      <c r="N78" s="49">
        <v>34</v>
      </c>
      <c r="O78" s="17">
        <f>Q78-P78</f>
        <v>38</v>
      </c>
      <c r="P78" s="14"/>
      <c r="Q78" s="49">
        <v>38</v>
      </c>
      <c r="R78" s="17">
        <f>T78-S78</f>
        <v>30</v>
      </c>
      <c r="S78" s="14"/>
      <c r="T78" s="49">
        <v>30</v>
      </c>
      <c r="U78" s="17">
        <f>W78-V78</f>
        <v>130</v>
      </c>
      <c r="V78" s="14"/>
      <c r="W78" s="49">
        <f>K78+N78+Q78+T78</f>
        <v>130</v>
      </c>
      <c r="X78" s="106"/>
      <c r="Y78" s="94">
        <f>AA78-Z78</f>
        <v>30</v>
      </c>
      <c r="Z78" s="14"/>
      <c r="AA78" s="49">
        <v>30</v>
      </c>
      <c r="AB78" s="17">
        <f>AD78-AC78</f>
        <v>36</v>
      </c>
      <c r="AC78" s="14"/>
      <c r="AD78" s="49">
        <v>36</v>
      </c>
      <c r="AE78" s="17">
        <f>AG78-AF78</f>
        <v>41</v>
      </c>
      <c r="AF78" s="14"/>
      <c r="AG78" s="49">
        <v>41</v>
      </c>
      <c r="AH78" s="17">
        <f>AJ78-AI78</f>
        <v>35</v>
      </c>
      <c r="AI78" s="14"/>
      <c r="AJ78" s="49">
        <v>35</v>
      </c>
      <c r="AK78" s="17">
        <f>AM78-AL78</f>
        <v>142</v>
      </c>
      <c r="AL78" s="14"/>
      <c r="AM78" s="49">
        <f>AA78+AD78+AG78+AJ78</f>
        <v>142</v>
      </c>
      <c r="AN78" s="106"/>
      <c r="AO78" s="17">
        <f>AQ78-AP78</f>
        <v>34</v>
      </c>
      <c r="AP78" s="14"/>
      <c r="AQ78" s="49">
        <v>34</v>
      </c>
      <c r="AR78" s="17">
        <f>AT78-AS78</f>
        <v>34</v>
      </c>
      <c r="AS78" s="14"/>
      <c r="AT78" s="49">
        <f>68-34</f>
        <v>34</v>
      </c>
      <c r="AU78" s="17">
        <f>AW78-AV78</f>
        <v>43</v>
      </c>
      <c r="AV78" s="14"/>
      <c r="AW78" s="49">
        <f>111-34-34</f>
        <v>43</v>
      </c>
      <c r="AX78" s="17">
        <f>AZ78-AY78</f>
        <v>43</v>
      </c>
      <c r="AY78" s="14"/>
      <c r="AZ78" s="49">
        <f>154-111</f>
        <v>43</v>
      </c>
      <c r="BA78" s="17">
        <f>BC78-BB78</f>
        <v>154</v>
      </c>
      <c r="BB78" s="14"/>
      <c r="BC78" s="49">
        <f>AQ78+AT78+AW78+AZ78</f>
        <v>154</v>
      </c>
      <c r="BD78" s="106"/>
      <c r="BE78" s="17">
        <f>BG78-BF78</f>
        <v>42</v>
      </c>
      <c r="BF78" s="14"/>
      <c r="BG78" s="49">
        <v>42</v>
      </c>
      <c r="BH78" s="17">
        <f>BJ78-BI78</f>
        <v>32</v>
      </c>
      <c r="BI78" s="14"/>
      <c r="BJ78" s="49">
        <f>74-42</f>
        <v>32</v>
      </c>
      <c r="BK78" s="17">
        <f>BM78-BL78</f>
        <v>56</v>
      </c>
      <c r="BL78" s="14"/>
      <c r="BM78" s="87">
        <f>130-74</f>
        <v>56</v>
      </c>
      <c r="BN78" s="17">
        <f>BP78-BO78</f>
        <v>36</v>
      </c>
      <c r="BO78" s="14"/>
      <c r="BP78" s="49">
        <v>36</v>
      </c>
      <c r="BQ78" s="17">
        <f>BS78-BR78</f>
        <v>166</v>
      </c>
      <c r="BR78" s="14"/>
      <c r="BS78" s="49">
        <f>BG78+BJ78+BM78+BP78</f>
        <v>166</v>
      </c>
      <c r="BT78" s="106"/>
      <c r="BU78" s="17">
        <f>BW78-BV78</f>
        <v>38</v>
      </c>
      <c r="BV78" s="14"/>
      <c r="BW78" s="49">
        <v>38</v>
      </c>
      <c r="BX78" s="17">
        <f>BZ78-BY78</f>
        <v>0</v>
      </c>
      <c r="BY78" s="14"/>
      <c r="BZ78" s="49"/>
      <c r="CA78" s="17">
        <f>CC78-CB78</f>
        <v>0</v>
      </c>
      <c r="CB78" s="14"/>
      <c r="CC78" s="87"/>
      <c r="CD78" s="17">
        <f>CF78-CE78</f>
        <v>0</v>
      </c>
      <c r="CE78" s="14"/>
      <c r="CF78" s="49"/>
      <c r="CG78" s="17">
        <f>CI78-CH78</f>
        <v>38</v>
      </c>
      <c r="CH78" s="14"/>
      <c r="CI78" s="49">
        <f>BW78+BZ78+CC78+CF78</f>
        <v>38</v>
      </c>
    </row>
    <row r="79" spans="1:87" ht="12.75">
      <c r="A79" s="8" t="s">
        <v>34</v>
      </c>
      <c r="B79" s="106"/>
      <c r="C79" s="17">
        <v>38</v>
      </c>
      <c r="D79" s="106"/>
      <c r="E79" s="94">
        <v>52</v>
      </c>
      <c r="F79" s="106"/>
      <c r="G79" s="94">
        <v>100</v>
      </c>
      <c r="H79" s="106"/>
      <c r="I79" s="17">
        <f>K79-J79</f>
        <v>23</v>
      </c>
      <c r="J79" s="14"/>
      <c r="K79" s="49">
        <v>23</v>
      </c>
      <c r="L79" s="17">
        <f>N79-M79</f>
        <v>26</v>
      </c>
      <c r="M79" s="14"/>
      <c r="N79" s="49">
        <v>26</v>
      </c>
      <c r="O79" s="17">
        <f>Q79-P79</f>
        <v>35</v>
      </c>
      <c r="P79" s="14"/>
      <c r="Q79" s="49">
        <v>35</v>
      </c>
      <c r="R79" s="17">
        <f>T79-S79</f>
        <v>20</v>
      </c>
      <c r="S79" s="14"/>
      <c r="T79" s="49">
        <v>20</v>
      </c>
      <c r="U79" s="17">
        <f>W79-V79</f>
        <v>104</v>
      </c>
      <c r="V79" s="14"/>
      <c r="W79" s="49">
        <f>K79+N79+Q79+T79</f>
        <v>104</v>
      </c>
      <c r="X79" s="106"/>
      <c r="Y79" s="94">
        <f>AA79-Z79</f>
        <v>23</v>
      </c>
      <c r="Z79" s="14"/>
      <c r="AA79" s="49">
        <v>23</v>
      </c>
      <c r="AB79" s="17">
        <f>AD79-AC79</f>
        <v>28</v>
      </c>
      <c r="AC79" s="14"/>
      <c r="AD79" s="49">
        <v>28</v>
      </c>
      <c r="AE79" s="17">
        <f>AG79-AF79</f>
        <v>38</v>
      </c>
      <c r="AF79" s="14"/>
      <c r="AG79" s="49">
        <v>38</v>
      </c>
      <c r="AH79" s="17">
        <f>AJ79-AI79</f>
        <v>40</v>
      </c>
      <c r="AI79" s="14"/>
      <c r="AJ79" s="49">
        <v>40</v>
      </c>
      <c r="AK79" s="17">
        <f>AM79-AL79</f>
        <v>129</v>
      </c>
      <c r="AL79" s="14"/>
      <c r="AM79" s="49">
        <f>AA79+AD79+AG79+AJ79</f>
        <v>129</v>
      </c>
      <c r="AN79" s="106"/>
      <c r="AO79" s="17">
        <f>AQ79-AP79</f>
        <v>29</v>
      </c>
      <c r="AP79" s="14"/>
      <c r="AQ79" s="49">
        <v>29</v>
      </c>
      <c r="AR79" s="17">
        <f>AT79-AS79</f>
        <v>29</v>
      </c>
      <c r="AS79" s="14"/>
      <c r="AT79" s="49">
        <f>58-29</f>
        <v>29</v>
      </c>
      <c r="AU79" s="17">
        <f>AW79-AV79</f>
        <v>33</v>
      </c>
      <c r="AV79" s="14"/>
      <c r="AW79" s="49">
        <f>91-29-29</f>
        <v>33</v>
      </c>
      <c r="AX79" s="17">
        <f>AZ79-AY79</f>
        <v>43</v>
      </c>
      <c r="AY79" s="14"/>
      <c r="AZ79" s="49">
        <f>134-91</f>
        <v>43</v>
      </c>
      <c r="BA79" s="17">
        <f>BC79-BB79</f>
        <v>134</v>
      </c>
      <c r="BB79" s="14"/>
      <c r="BC79" s="49">
        <f>AQ79+AT79+AW79+AZ79</f>
        <v>134</v>
      </c>
      <c r="BD79" s="106"/>
      <c r="BE79" s="17">
        <f>BG79-BF79</f>
        <v>35</v>
      </c>
      <c r="BF79" s="14"/>
      <c r="BG79" s="49">
        <v>35</v>
      </c>
      <c r="BH79" s="17">
        <f>BJ79-BI79</f>
        <v>27</v>
      </c>
      <c r="BI79" s="14"/>
      <c r="BJ79" s="49">
        <f>62-35</f>
        <v>27</v>
      </c>
      <c r="BK79" s="17">
        <f>BM79-BL79</f>
        <v>37</v>
      </c>
      <c r="BL79" s="14"/>
      <c r="BM79" s="87">
        <f>99-62</f>
        <v>37</v>
      </c>
      <c r="BN79" s="17">
        <f>BP79-BO79</f>
        <v>33</v>
      </c>
      <c r="BO79" s="14"/>
      <c r="BP79" s="49">
        <v>33</v>
      </c>
      <c r="BQ79" s="17">
        <f>BS79-BR79</f>
        <v>132</v>
      </c>
      <c r="BR79" s="14"/>
      <c r="BS79" s="49">
        <f>BG79+BJ79+BM79+BP79</f>
        <v>132</v>
      </c>
      <c r="BT79" s="106"/>
      <c r="BU79" s="17">
        <f>BW79-BV79</f>
        <v>34</v>
      </c>
      <c r="BV79" s="14"/>
      <c r="BW79" s="49">
        <v>34</v>
      </c>
      <c r="BX79" s="17">
        <f>BZ79-BY79</f>
        <v>0</v>
      </c>
      <c r="BY79" s="14"/>
      <c r="BZ79" s="49"/>
      <c r="CA79" s="17">
        <f>CC79-CB79</f>
        <v>0</v>
      </c>
      <c r="CB79" s="14"/>
      <c r="CC79" s="87"/>
      <c r="CD79" s="17">
        <f>CF79-CE79</f>
        <v>0</v>
      </c>
      <c r="CE79" s="14"/>
      <c r="CF79" s="49"/>
      <c r="CG79" s="17">
        <f>CI79-CH79</f>
        <v>34</v>
      </c>
      <c r="CH79" s="14"/>
      <c r="CI79" s="49">
        <f>BW79+BZ79+CC79+CF79</f>
        <v>34</v>
      </c>
    </row>
    <row r="80" spans="1:87" ht="12.75">
      <c r="A80" s="8" t="s">
        <v>35</v>
      </c>
      <c r="B80" s="106"/>
      <c r="C80" s="17">
        <v>22</v>
      </c>
      <c r="D80" s="106"/>
      <c r="E80" s="94">
        <v>48</v>
      </c>
      <c r="F80" s="106"/>
      <c r="G80" s="94">
        <v>196</v>
      </c>
      <c r="H80" s="106"/>
      <c r="I80" s="17">
        <f>K80-J80</f>
        <v>60</v>
      </c>
      <c r="J80" s="14">
        <v>14</v>
      </c>
      <c r="K80" s="49">
        <v>74</v>
      </c>
      <c r="L80" s="17">
        <f>N80-M80</f>
        <v>64</v>
      </c>
      <c r="M80" s="14">
        <v>34</v>
      </c>
      <c r="N80" s="49">
        <v>98</v>
      </c>
      <c r="O80" s="17">
        <f>Q80-P80</f>
        <v>88</v>
      </c>
      <c r="P80" s="14">
        <v>54</v>
      </c>
      <c r="Q80" s="49">
        <v>142</v>
      </c>
      <c r="R80" s="17">
        <f>T80-S80</f>
        <v>86</v>
      </c>
      <c r="S80" s="14">
        <v>46</v>
      </c>
      <c r="T80" s="49">
        <v>132</v>
      </c>
      <c r="U80" s="17">
        <f>W80-V80</f>
        <v>298</v>
      </c>
      <c r="V80" s="14">
        <f>J80+M80+P80+S80</f>
        <v>148</v>
      </c>
      <c r="W80" s="49">
        <f>K80+N80+Q80+T80</f>
        <v>446</v>
      </c>
      <c r="X80" s="106"/>
      <c r="Y80" s="94">
        <f>AA80-Z80</f>
        <v>74</v>
      </c>
      <c r="Z80" s="14">
        <v>46</v>
      </c>
      <c r="AA80" s="49">
        <v>120</v>
      </c>
      <c r="AB80" s="17">
        <f>AD80-AC80</f>
        <v>100</v>
      </c>
      <c r="AC80" s="14">
        <v>61</v>
      </c>
      <c r="AD80" s="49">
        <v>161</v>
      </c>
      <c r="AE80" s="17">
        <f>AG80-AF80</f>
        <v>138</v>
      </c>
      <c r="AF80" s="14">
        <v>64</v>
      </c>
      <c r="AG80" s="49">
        <v>202</v>
      </c>
      <c r="AH80" s="17">
        <f>AJ80-AI80</f>
        <v>143</v>
      </c>
      <c r="AI80" s="14">
        <v>48</v>
      </c>
      <c r="AJ80" s="49">
        <v>191</v>
      </c>
      <c r="AK80" s="17">
        <f>AM80-AL80</f>
        <v>455</v>
      </c>
      <c r="AL80" s="14">
        <f>Z80+AC80+AF80+AI80</f>
        <v>219</v>
      </c>
      <c r="AM80" s="49">
        <f>AA80+AD80+AG80+AJ80</f>
        <v>674</v>
      </c>
      <c r="AN80" s="106"/>
      <c r="AO80" s="17">
        <f>AQ80-AP80</f>
        <v>170</v>
      </c>
      <c r="AP80" s="14">
        <v>68</v>
      </c>
      <c r="AQ80" s="49">
        <v>238</v>
      </c>
      <c r="AR80" s="17">
        <f>AT80-AS80</f>
        <v>183</v>
      </c>
      <c r="AS80" s="14">
        <v>98</v>
      </c>
      <c r="AT80" s="49">
        <f>519-238</f>
        <v>281</v>
      </c>
      <c r="AU80" s="17">
        <f>AW80-AV80</f>
        <v>220</v>
      </c>
      <c r="AV80" s="14">
        <v>119</v>
      </c>
      <c r="AW80" s="49">
        <f>858-281-238</f>
        <v>339</v>
      </c>
      <c r="AX80" s="17">
        <f>AZ80-AY80</f>
        <v>229</v>
      </c>
      <c r="AY80" s="14">
        <v>109</v>
      </c>
      <c r="AZ80" s="49">
        <f>1196-858</f>
        <v>338</v>
      </c>
      <c r="BA80" s="17">
        <f>BC80-BB80</f>
        <v>802</v>
      </c>
      <c r="BB80" s="14">
        <f>AP80+AS80+AV80+AY80</f>
        <v>394</v>
      </c>
      <c r="BC80" s="49">
        <f>AQ80+AT80+AW80+AZ80</f>
        <v>1196</v>
      </c>
      <c r="BD80" s="106"/>
      <c r="BE80" s="17">
        <f>BG80-BF80</f>
        <v>169</v>
      </c>
      <c r="BF80" s="14">
        <v>98</v>
      </c>
      <c r="BG80" s="49">
        <v>267</v>
      </c>
      <c r="BH80" s="17">
        <f>BJ80-BI80</f>
        <v>175</v>
      </c>
      <c r="BI80" s="14">
        <v>112</v>
      </c>
      <c r="BJ80" s="49">
        <f>554-267</f>
        <v>287</v>
      </c>
      <c r="BK80" s="17">
        <f>BM80-BL80</f>
        <v>202</v>
      </c>
      <c r="BL80" s="14">
        <v>87</v>
      </c>
      <c r="BM80" s="87">
        <f>586-554+76+181</f>
        <v>289</v>
      </c>
      <c r="BN80" s="17">
        <f>BP80-BO80</f>
        <v>172</v>
      </c>
      <c r="BO80" s="14">
        <v>35</v>
      </c>
      <c r="BP80" s="49">
        <v>207</v>
      </c>
      <c r="BQ80" s="17">
        <f>BS80-BR80</f>
        <v>718</v>
      </c>
      <c r="BR80" s="14">
        <f>BF80+BI80+BL80+BO80</f>
        <v>332</v>
      </c>
      <c r="BS80" s="49">
        <f>BG80+BJ80+BM80+BP80</f>
        <v>1050</v>
      </c>
      <c r="BT80" s="106"/>
      <c r="BU80" s="17">
        <f>BW80-BV80</f>
        <v>53</v>
      </c>
      <c r="BV80" s="14">
        <v>7</v>
      </c>
      <c r="BW80" s="49">
        <v>60</v>
      </c>
      <c r="BX80" s="17">
        <f>BZ80-BY80</f>
        <v>0</v>
      </c>
      <c r="BY80" s="14"/>
      <c r="BZ80" s="49"/>
      <c r="CA80" s="17">
        <f>CC80-CB80</f>
        <v>0</v>
      </c>
      <c r="CB80" s="14"/>
      <c r="CC80" s="87"/>
      <c r="CD80" s="17">
        <f>CF80-CE80</f>
        <v>0</v>
      </c>
      <c r="CE80" s="14"/>
      <c r="CF80" s="49"/>
      <c r="CG80" s="17">
        <f>CI80-CH80</f>
        <v>53</v>
      </c>
      <c r="CH80" s="14">
        <f>BV80+BY80+CB80+CE80</f>
        <v>7</v>
      </c>
      <c r="CI80" s="49">
        <f>BW80+BZ80+CC80+CF80</f>
        <v>60</v>
      </c>
    </row>
    <row r="81" spans="1:87" ht="12.75">
      <c r="A81" s="8" t="s">
        <v>73</v>
      </c>
      <c r="B81" s="106"/>
      <c r="C81" s="17">
        <v>0</v>
      </c>
      <c r="D81" s="106"/>
      <c r="E81" s="94">
        <v>0</v>
      </c>
      <c r="F81" s="106"/>
      <c r="G81" s="94">
        <v>0</v>
      </c>
      <c r="H81" s="106"/>
      <c r="I81" s="17">
        <f>K81-J81</f>
        <v>6</v>
      </c>
      <c r="J81" s="14"/>
      <c r="K81" s="49">
        <v>6</v>
      </c>
      <c r="L81" s="17">
        <f>N81-M81</f>
        <v>14</v>
      </c>
      <c r="M81" s="14"/>
      <c r="N81" s="49">
        <v>14</v>
      </c>
      <c r="O81" s="17">
        <f>Q81-P81</f>
        <v>21</v>
      </c>
      <c r="P81" s="14"/>
      <c r="Q81" s="49">
        <v>21</v>
      </c>
      <c r="R81" s="17">
        <f>T81-S81</f>
        <v>37</v>
      </c>
      <c r="S81" s="14"/>
      <c r="T81" s="49">
        <v>37</v>
      </c>
      <c r="U81" s="17">
        <f>W81-V81</f>
        <v>78</v>
      </c>
      <c r="V81" s="14"/>
      <c r="W81" s="49">
        <f>K81+N81+Q81+T81</f>
        <v>78</v>
      </c>
      <c r="X81" s="106"/>
      <c r="Y81" s="94">
        <f>AA81-Z81</f>
        <v>41</v>
      </c>
      <c r="Z81" s="14"/>
      <c r="AA81" s="49">
        <v>41</v>
      </c>
      <c r="AB81" s="17">
        <f>AD81-AC81</f>
        <v>46</v>
      </c>
      <c r="AC81" s="14"/>
      <c r="AD81" s="49">
        <v>46</v>
      </c>
      <c r="AE81" s="17">
        <f>AG81-AF81</f>
        <v>46</v>
      </c>
      <c r="AF81" s="14"/>
      <c r="AG81" s="49">
        <v>46</v>
      </c>
      <c r="AH81" s="17">
        <f>AJ81-AI81</f>
        <v>42</v>
      </c>
      <c r="AI81" s="14"/>
      <c r="AJ81" s="49">
        <v>42</v>
      </c>
      <c r="AK81" s="17">
        <f>AM81-AL81</f>
        <v>175</v>
      </c>
      <c r="AL81" s="14"/>
      <c r="AM81" s="49">
        <f>AA81+AD81+AG81+AJ81</f>
        <v>175</v>
      </c>
      <c r="AN81" s="106"/>
      <c r="AO81" s="17">
        <f>AQ81-AP81</f>
        <v>52</v>
      </c>
      <c r="AP81" s="14"/>
      <c r="AQ81" s="49">
        <v>52</v>
      </c>
      <c r="AR81" s="17">
        <f>AT81-AS81</f>
        <v>63</v>
      </c>
      <c r="AS81" s="14"/>
      <c r="AT81" s="49">
        <f>115-52</f>
        <v>63</v>
      </c>
      <c r="AU81" s="17">
        <f>AW81-AV81</f>
        <v>67</v>
      </c>
      <c r="AV81" s="14"/>
      <c r="AW81" s="49">
        <f>182-63-52</f>
        <v>67</v>
      </c>
      <c r="AX81" s="17">
        <f>AZ81-AY81</f>
        <v>58</v>
      </c>
      <c r="AY81" s="14"/>
      <c r="AZ81" s="49">
        <f>240-182</f>
        <v>58</v>
      </c>
      <c r="BA81" s="17">
        <f>BC81-BB81</f>
        <v>240</v>
      </c>
      <c r="BB81" s="14"/>
      <c r="BC81" s="49">
        <f>AQ81+AT81+AW81+AZ81</f>
        <v>240</v>
      </c>
      <c r="BD81" s="106"/>
      <c r="BE81" s="17">
        <f>BG81-BF81</f>
        <v>63</v>
      </c>
      <c r="BF81" s="14"/>
      <c r="BG81" s="49">
        <v>63</v>
      </c>
      <c r="BH81" s="17">
        <f>BJ81-BI81</f>
        <v>77</v>
      </c>
      <c r="BI81" s="14"/>
      <c r="BJ81" s="49">
        <f>140-63</f>
        <v>77</v>
      </c>
      <c r="BK81" s="17">
        <f>BM81-BL81</f>
        <v>56</v>
      </c>
      <c r="BL81" s="14"/>
      <c r="BM81" s="87">
        <f>196-140</f>
        <v>56</v>
      </c>
      <c r="BN81" s="17">
        <f>BP81-BO81</f>
        <v>46</v>
      </c>
      <c r="BO81" s="14"/>
      <c r="BP81" s="49">
        <v>46</v>
      </c>
      <c r="BQ81" s="17">
        <f>BS81-BR81</f>
        <v>242</v>
      </c>
      <c r="BR81" s="14"/>
      <c r="BS81" s="49">
        <f>BG81+BJ81+BM81+BP81</f>
        <v>242</v>
      </c>
      <c r="BT81" s="106"/>
      <c r="BU81" s="17">
        <f>BW81-BV81</f>
        <v>166</v>
      </c>
      <c r="BV81" s="14"/>
      <c r="BW81" s="49">
        <v>166</v>
      </c>
      <c r="BX81" s="17">
        <f>BZ81-BY81</f>
        <v>0</v>
      </c>
      <c r="BY81" s="14"/>
      <c r="BZ81" s="49"/>
      <c r="CA81" s="17">
        <f>CC81-CB81</f>
        <v>0</v>
      </c>
      <c r="CB81" s="14"/>
      <c r="CC81" s="87"/>
      <c r="CD81" s="17">
        <f>CF81-CE81</f>
        <v>0</v>
      </c>
      <c r="CE81" s="14"/>
      <c r="CF81" s="49"/>
      <c r="CG81" s="17">
        <f>CI81-CH81</f>
        <v>166</v>
      </c>
      <c r="CH81" s="14"/>
      <c r="CI81" s="49">
        <f>BW81+BZ81+CC81+CF81</f>
        <v>166</v>
      </c>
    </row>
    <row r="82" spans="1:87" ht="12.75">
      <c r="A82" s="8" t="s">
        <v>36</v>
      </c>
      <c r="B82" s="106"/>
      <c r="C82" s="17">
        <v>9</v>
      </c>
      <c r="D82" s="106"/>
      <c r="E82" s="94">
        <v>19</v>
      </c>
      <c r="F82" s="106"/>
      <c r="G82" s="94">
        <v>48</v>
      </c>
      <c r="H82" s="106"/>
      <c r="I82" s="17">
        <f>K82-J82</f>
        <v>14</v>
      </c>
      <c r="J82" s="14"/>
      <c r="K82" s="49">
        <v>14</v>
      </c>
      <c r="L82" s="17">
        <f>N82-M82</f>
        <v>21</v>
      </c>
      <c r="M82" s="14"/>
      <c r="N82" s="49">
        <v>21</v>
      </c>
      <c r="O82" s="17">
        <f>Q82-P82</f>
        <v>32</v>
      </c>
      <c r="P82" s="14"/>
      <c r="Q82" s="49">
        <v>32</v>
      </c>
      <c r="R82" s="17">
        <f>T82-S82</f>
        <v>22</v>
      </c>
      <c r="S82" s="14"/>
      <c r="T82" s="49">
        <v>22</v>
      </c>
      <c r="U82" s="17">
        <f>W82-V82</f>
        <v>89</v>
      </c>
      <c r="V82" s="14"/>
      <c r="W82" s="49">
        <f>K82+N82+Q82+T82</f>
        <v>89</v>
      </c>
      <c r="X82" s="106"/>
      <c r="Y82" s="94">
        <f>AA82-Z82</f>
        <v>15</v>
      </c>
      <c r="Z82" s="14"/>
      <c r="AA82" s="49">
        <v>15</v>
      </c>
      <c r="AB82" s="17">
        <f>AD82-AC82</f>
        <v>23</v>
      </c>
      <c r="AC82" s="14"/>
      <c r="AD82" s="49">
        <v>23</v>
      </c>
      <c r="AE82" s="17">
        <f>AG82-AF82</f>
        <v>34</v>
      </c>
      <c r="AF82" s="14"/>
      <c r="AG82" s="49">
        <v>34</v>
      </c>
      <c r="AH82" s="17">
        <f>AJ82-AI82</f>
        <v>25</v>
      </c>
      <c r="AI82" s="14"/>
      <c r="AJ82" s="49">
        <v>25</v>
      </c>
      <c r="AK82" s="17">
        <f>AM82-AL82</f>
        <v>97</v>
      </c>
      <c r="AL82" s="14"/>
      <c r="AM82" s="49">
        <f>AA82+AD82+AG82+AJ82</f>
        <v>97</v>
      </c>
      <c r="AN82" s="106"/>
      <c r="AO82" s="17">
        <f>AQ82-AP82</f>
        <v>17</v>
      </c>
      <c r="AP82" s="14"/>
      <c r="AQ82" s="49">
        <v>17</v>
      </c>
      <c r="AR82" s="17">
        <f>AT82-AS82</f>
        <v>23</v>
      </c>
      <c r="AS82" s="14"/>
      <c r="AT82" s="49">
        <f>40-17</f>
        <v>23</v>
      </c>
      <c r="AU82" s="17">
        <f>AW82-AV82</f>
        <v>34</v>
      </c>
      <c r="AV82" s="14"/>
      <c r="AW82" s="49">
        <f>74-23-17</f>
        <v>34</v>
      </c>
      <c r="AX82" s="17">
        <f>AZ82-AY82</f>
        <v>25</v>
      </c>
      <c r="AY82" s="14"/>
      <c r="AZ82" s="49">
        <f>99-74</f>
        <v>25</v>
      </c>
      <c r="BA82" s="17">
        <f>BC82-BB82</f>
        <v>99</v>
      </c>
      <c r="BB82" s="14"/>
      <c r="BC82" s="49">
        <f>AQ82+AT82+AW82+AZ82</f>
        <v>99</v>
      </c>
      <c r="BD82" s="106"/>
      <c r="BE82" s="17">
        <f>BG82-BF82</f>
        <v>19</v>
      </c>
      <c r="BF82" s="14"/>
      <c r="BG82" s="49">
        <v>19</v>
      </c>
      <c r="BH82" s="17">
        <f>BJ82-BI82</f>
        <v>23</v>
      </c>
      <c r="BI82" s="14"/>
      <c r="BJ82" s="49">
        <f>42-19</f>
        <v>23</v>
      </c>
      <c r="BK82" s="17">
        <f>BM82-BL82</f>
        <v>34</v>
      </c>
      <c r="BL82" s="14"/>
      <c r="BM82" s="87">
        <f>76-42</f>
        <v>34</v>
      </c>
      <c r="BN82" s="17">
        <f>BP82-BO82</f>
        <v>20</v>
      </c>
      <c r="BO82" s="14"/>
      <c r="BP82" s="49">
        <v>20</v>
      </c>
      <c r="BQ82" s="17">
        <f>BS82-BR82</f>
        <v>96</v>
      </c>
      <c r="BR82" s="14"/>
      <c r="BS82" s="49">
        <f>BG82+BJ82+BM82+BP82</f>
        <v>96</v>
      </c>
      <c r="BT82" s="106"/>
      <c r="BU82" s="17">
        <f>BW82-BV82</f>
        <v>18</v>
      </c>
      <c r="BV82" s="14"/>
      <c r="BW82" s="49">
        <v>18</v>
      </c>
      <c r="BX82" s="17">
        <f>BZ82-BY82</f>
        <v>0</v>
      </c>
      <c r="BY82" s="14"/>
      <c r="BZ82" s="49"/>
      <c r="CA82" s="17">
        <f>CC82-CB82</f>
        <v>0</v>
      </c>
      <c r="CB82" s="14"/>
      <c r="CC82" s="87"/>
      <c r="CD82" s="17">
        <f>CF82-CE82</f>
        <v>0</v>
      </c>
      <c r="CE82" s="14"/>
      <c r="CF82" s="49"/>
      <c r="CG82" s="17">
        <f>CI82-CH82</f>
        <v>18</v>
      </c>
      <c r="CH82" s="14"/>
      <c r="CI82" s="49">
        <f>BW82+BZ82+CC82+CF82</f>
        <v>18</v>
      </c>
    </row>
    <row r="83" spans="1:87" ht="13.5" thickBot="1">
      <c r="A83" s="9" t="s">
        <v>56</v>
      </c>
      <c r="B83" s="106"/>
      <c r="C83" s="3">
        <f>SUM(C78:C82)</f>
        <v>162</v>
      </c>
      <c r="D83" s="106"/>
      <c r="E83" s="13">
        <f>SUM(E78:E82)</f>
        <v>262</v>
      </c>
      <c r="F83" s="106"/>
      <c r="G83" s="13">
        <f>SUM(G78:G82)</f>
        <v>481</v>
      </c>
      <c r="H83" s="106"/>
      <c r="I83" s="3">
        <f aca="true" t="shared" si="113" ref="I83:W83">SUM(I78:I82)</f>
        <v>131</v>
      </c>
      <c r="J83" s="13">
        <f t="shared" si="113"/>
        <v>14</v>
      </c>
      <c r="K83" s="50">
        <f t="shared" si="113"/>
        <v>145</v>
      </c>
      <c r="L83" s="3">
        <f t="shared" si="113"/>
        <v>159</v>
      </c>
      <c r="M83" s="13">
        <f t="shared" si="113"/>
        <v>34</v>
      </c>
      <c r="N83" s="50">
        <f t="shared" si="113"/>
        <v>193</v>
      </c>
      <c r="O83" s="3">
        <f t="shared" si="113"/>
        <v>214</v>
      </c>
      <c r="P83" s="13">
        <f t="shared" si="113"/>
        <v>54</v>
      </c>
      <c r="Q83" s="50">
        <f t="shared" si="113"/>
        <v>268</v>
      </c>
      <c r="R83" s="3">
        <f t="shared" si="113"/>
        <v>195</v>
      </c>
      <c r="S83" s="13">
        <f t="shared" si="113"/>
        <v>46</v>
      </c>
      <c r="T83" s="50">
        <f t="shared" si="113"/>
        <v>241</v>
      </c>
      <c r="U83" s="3">
        <f t="shared" si="113"/>
        <v>699</v>
      </c>
      <c r="V83" s="13">
        <f t="shared" si="113"/>
        <v>148</v>
      </c>
      <c r="W83" s="50">
        <f t="shared" si="113"/>
        <v>847</v>
      </c>
      <c r="X83" s="106"/>
      <c r="Y83" s="13">
        <f aca="true" t="shared" si="114" ref="Y83:BS83">SUM(Y78:Y82)</f>
        <v>183</v>
      </c>
      <c r="Z83" s="13">
        <f t="shared" si="114"/>
        <v>46</v>
      </c>
      <c r="AA83" s="50">
        <f t="shared" si="114"/>
        <v>229</v>
      </c>
      <c r="AB83" s="3">
        <f t="shared" si="114"/>
        <v>233</v>
      </c>
      <c r="AC83" s="13">
        <f t="shared" si="114"/>
        <v>61</v>
      </c>
      <c r="AD83" s="50">
        <f t="shared" si="114"/>
        <v>294</v>
      </c>
      <c r="AE83" s="3">
        <f t="shared" si="114"/>
        <v>297</v>
      </c>
      <c r="AF83" s="13">
        <f t="shared" si="114"/>
        <v>64</v>
      </c>
      <c r="AG83" s="50">
        <f t="shared" si="114"/>
        <v>361</v>
      </c>
      <c r="AH83" s="3">
        <f t="shared" si="114"/>
        <v>285</v>
      </c>
      <c r="AI83" s="13">
        <f t="shared" si="114"/>
        <v>48</v>
      </c>
      <c r="AJ83" s="50">
        <f t="shared" si="114"/>
        <v>333</v>
      </c>
      <c r="AK83" s="3">
        <f t="shared" si="114"/>
        <v>998</v>
      </c>
      <c r="AL83" s="13">
        <f t="shared" si="114"/>
        <v>219</v>
      </c>
      <c r="AM83" s="50">
        <f t="shared" si="114"/>
        <v>1217</v>
      </c>
      <c r="AN83" s="106"/>
      <c r="AO83" s="3">
        <f t="shared" si="114"/>
        <v>302</v>
      </c>
      <c r="AP83" s="13">
        <f t="shared" si="114"/>
        <v>68</v>
      </c>
      <c r="AQ83" s="50">
        <f t="shared" si="114"/>
        <v>370</v>
      </c>
      <c r="AR83" s="3">
        <f t="shared" si="114"/>
        <v>332</v>
      </c>
      <c r="AS83" s="13">
        <f t="shared" si="114"/>
        <v>98</v>
      </c>
      <c r="AT83" s="50">
        <f t="shared" si="114"/>
        <v>430</v>
      </c>
      <c r="AU83" s="3">
        <f t="shared" si="114"/>
        <v>397</v>
      </c>
      <c r="AV83" s="13">
        <f t="shared" si="114"/>
        <v>119</v>
      </c>
      <c r="AW83" s="50">
        <f t="shared" si="114"/>
        <v>516</v>
      </c>
      <c r="AX83" s="3">
        <f t="shared" si="114"/>
        <v>398</v>
      </c>
      <c r="AY83" s="13">
        <f t="shared" si="114"/>
        <v>109</v>
      </c>
      <c r="AZ83" s="50">
        <f t="shared" si="114"/>
        <v>507</v>
      </c>
      <c r="BA83" s="3">
        <f t="shared" si="114"/>
        <v>1429</v>
      </c>
      <c r="BB83" s="13">
        <f t="shared" si="114"/>
        <v>394</v>
      </c>
      <c r="BC83" s="50">
        <f t="shared" si="114"/>
        <v>1823</v>
      </c>
      <c r="BD83" s="106"/>
      <c r="BE83" s="3">
        <f t="shared" si="114"/>
        <v>328</v>
      </c>
      <c r="BF83" s="13">
        <f t="shared" si="114"/>
        <v>98</v>
      </c>
      <c r="BG83" s="50">
        <f t="shared" si="114"/>
        <v>426</v>
      </c>
      <c r="BH83" s="3">
        <f t="shared" si="114"/>
        <v>334</v>
      </c>
      <c r="BI83" s="13">
        <f t="shared" si="114"/>
        <v>112</v>
      </c>
      <c r="BJ83" s="50">
        <f t="shared" si="114"/>
        <v>446</v>
      </c>
      <c r="BK83" s="3">
        <f t="shared" si="114"/>
        <v>385</v>
      </c>
      <c r="BL83" s="13">
        <f t="shared" si="114"/>
        <v>87</v>
      </c>
      <c r="BM83" s="50">
        <f t="shared" si="114"/>
        <v>472</v>
      </c>
      <c r="BN83" s="3">
        <f t="shared" si="114"/>
        <v>307</v>
      </c>
      <c r="BO83" s="13">
        <f t="shared" si="114"/>
        <v>35</v>
      </c>
      <c r="BP83" s="50">
        <f t="shared" si="114"/>
        <v>342</v>
      </c>
      <c r="BQ83" s="3">
        <f t="shared" si="114"/>
        <v>1354</v>
      </c>
      <c r="BR83" s="13">
        <f t="shared" si="114"/>
        <v>332</v>
      </c>
      <c r="BS83" s="50">
        <f t="shared" si="114"/>
        <v>1686</v>
      </c>
      <c r="BT83" s="106"/>
      <c r="BU83" s="3">
        <f aca="true" t="shared" si="115" ref="BU83:CI83">SUM(BU78:BU82)</f>
        <v>309</v>
      </c>
      <c r="BV83" s="13">
        <f t="shared" si="115"/>
        <v>7</v>
      </c>
      <c r="BW83" s="50">
        <f t="shared" si="115"/>
        <v>316</v>
      </c>
      <c r="BX83" s="5">
        <f t="shared" si="115"/>
        <v>0</v>
      </c>
      <c r="BY83" s="6">
        <f t="shared" si="115"/>
        <v>0</v>
      </c>
      <c r="BZ83" s="51">
        <f t="shared" si="115"/>
        <v>0</v>
      </c>
      <c r="CA83" s="5">
        <f t="shared" si="115"/>
        <v>0</v>
      </c>
      <c r="CB83" s="6">
        <f t="shared" si="115"/>
        <v>0</v>
      </c>
      <c r="CC83" s="51">
        <f t="shared" si="115"/>
        <v>0</v>
      </c>
      <c r="CD83" s="5">
        <f t="shared" si="115"/>
        <v>0</v>
      </c>
      <c r="CE83" s="6">
        <f t="shared" si="115"/>
        <v>0</v>
      </c>
      <c r="CF83" s="51">
        <f t="shared" si="115"/>
        <v>0</v>
      </c>
      <c r="CG83" s="5">
        <f t="shared" si="115"/>
        <v>309</v>
      </c>
      <c r="CH83" s="6">
        <f t="shared" si="115"/>
        <v>7</v>
      </c>
      <c r="CI83" s="51">
        <f t="shared" si="115"/>
        <v>316</v>
      </c>
    </row>
    <row r="84" spans="1:87" ht="12.75">
      <c r="A84" s="7" t="s">
        <v>59</v>
      </c>
      <c r="B84" s="106"/>
      <c r="C84" s="17"/>
      <c r="D84" s="106"/>
      <c r="E84" s="94"/>
      <c r="F84" s="106"/>
      <c r="G84" s="94"/>
      <c r="H84" s="106"/>
      <c r="I84" s="17"/>
      <c r="J84" s="14"/>
      <c r="K84" s="49"/>
      <c r="L84" s="17"/>
      <c r="M84" s="14"/>
      <c r="N84" s="49"/>
      <c r="O84" s="17"/>
      <c r="P84" s="14"/>
      <c r="Q84" s="49"/>
      <c r="R84" s="17"/>
      <c r="S84" s="14"/>
      <c r="T84" s="49"/>
      <c r="U84" s="17"/>
      <c r="V84" s="14"/>
      <c r="W84" s="49"/>
      <c r="X84" s="106"/>
      <c r="Y84" s="94"/>
      <c r="Z84" s="14"/>
      <c r="AA84" s="49"/>
      <c r="AB84" s="17"/>
      <c r="AC84" s="14"/>
      <c r="AD84" s="49"/>
      <c r="AE84" s="17"/>
      <c r="AF84" s="14"/>
      <c r="AG84" s="49"/>
      <c r="AH84" s="17"/>
      <c r="AI84" s="14"/>
      <c r="AJ84" s="49"/>
      <c r="AK84" s="17"/>
      <c r="AL84" s="14"/>
      <c r="AM84" s="49"/>
      <c r="AN84" s="106"/>
      <c r="AO84" s="17"/>
      <c r="AP84" s="14"/>
      <c r="AQ84" s="49"/>
      <c r="AR84" s="17"/>
      <c r="AS84" s="14"/>
      <c r="AT84" s="49"/>
      <c r="AU84" s="17"/>
      <c r="AV84" s="14"/>
      <c r="AW84" s="49"/>
      <c r="AX84" s="17"/>
      <c r="AY84" s="14"/>
      <c r="AZ84" s="49"/>
      <c r="BA84" s="17"/>
      <c r="BB84" s="14"/>
      <c r="BC84" s="49"/>
      <c r="BD84" s="106"/>
      <c r="BE84" s="17"/>
      <c r="BF84" s="14"/>
      <c r="BG84" s="49"/>
      <c r="BH84" s="17"/>
      <c r="BI84" s="14"/>
      <c r="BJ84" s="49"/>
      <c r="BK84" s="17"/>
      <c r="BL84" s="14"/>
      <c r="BM84" s="49"/>
      <c r="BN84" s="17"/>
      <c r="BO84" s="14"/>
      <c r="BP84" s="49"/>
      <c r="BQ84" s="17"/>
      <c r="BR84" s="14"/>
      <c r="BS84" s="49"/>
      <c r="BT84" s="106"/>
      <c r="BU84" s="17"/>
      <c r="BV84" s="14"/>
      <c r="BW84" s="49"/>
      <c r="BX84" s="17"/>
      <c r="BY84" s="14"/>
      <c r="BZ84" s="49"/>
      <c r="CA84" s="17"/>
      <c r="CB84" s="14"/>
      <c r="CC84" s="49"/>
      <c r="CD84" s="17"/>
      <c r="CE84" s="14"/>
      <c r="CF84" s="49"/>
      <c r="CG84" s="17"/>
      <c r="CH84" s="14"/>
      <c r="CI84" s="49"/>
    </row>
    <row r="85" spans="1:87" ht="12.75">
      <c r="A85" s="8" t="s">
        <v>33</v>
      </c>
      <c r="B85" s="106"/>
      <c r="C85" s="17">
        <v>3</v>
      </c>
      <c r="D85" s="106"/>
      <c r="E85" s="94">
        <v>3</v>
      </c>
      <c r="F85" s="106"/>
      <c r="G85" s="94">
        <v>6</v>
      </c>
      <c r="H85" s="106"/>
      <c r="I85" s="17">
        <f>K85-J85</f>
        <v>2</v>
      </c>
      <c r="J85" s="14"/>
      <c r="K85" s="49">
        <v>2</v>
      </c>
      <c r="L85" s="17">
        <f>N85-M85</f>
        <v>3</v>
      </c>
      <c r="M85" s="14"/>
      <c r="N85" s="49">
        <v>3</v>
      </c>
      <c r="O85" s="17">
        <f>Q85-P85</f>
        <v>2</v>
      </c>
      <c r="P85" s="14"/>
      <c r="Q85" s="49">
        <v>2</v>
      </c>
      <c r="R85" s="17">
        <f>T85-S85</f>
        <v>0</v>
      </c>
      <c r="S85" s="14"/>
      <c r="T85" s="49">
        <v>0</v>
      </c>
      <c r="U85" s="17">
        <f>W85-V85</f>
        <v>7</v>
      </c>
      <c r="V85" s="14"/>
      <c r="W85" s="49">
        <f>K85+N85+Q85+T85</f>
        <v>7</v>
      </c>
      <c r="X85" s="106"/>
      <c r="Y85" s="94">
        <f>AA85-Z85</f>
        <v>0</v>
      </c>
      <c r="Z85" s="14"/>
      <c r="AA85" s="49">
        <v>0</v>
      </c>
      <c r="AB85" s="17">
        <f>AD85-AC85</f>
        <v>1</v>
      </c>
      <c r="AC85" s="14"/>
      <c r="AD85" s="49">
        <v>1</v>
      </c>
      <c r="AE85" s="17">
        <f>AG85-AF85</f>
        <v>1</v>
      </c>
      <c r="AF85" s="14"/>
      <c r="AG85" s="49">
        <v>1</v>
      </c>
      <c r="AH85" s="17">
        <f>AJ85-AI85</f>
        <v>0</v>
      </c>
      <c r="AI85" s="14"/>
      <c r="AJ85" s="49">
        <v>0</v>
      </c>
      <c r="AK85" s="17">
        <f>AM85-AL85</f>
        <v>2</v>
      </c>
      <c r="AL85" s="14"/>
      <c r="AM85" s="49">
        <f>AA85+AD85+AG85+AJ85</f>
        <v>2</v>
      </c>
      <c r="AN85" s="106"/>
      <c r="AO85" s="17">
        <f>AQ85-AP85</f>
        <v>1</v>
      </c>
      <c r="AP85" s="14"/>
      <c r="AQ85" s="49">
        <v>1</v>
      </c>
      <c r="AR85" s="17">
        <f>AT85-AS85</f>
        <v>0</v>
      </c>
      <c r="AS85" s="14"/>
      <c r="AT85" s="49">
        <v>0</v>
      </c>
      <c r="AU85" s="17">
        <f>AW85-AV85</f>
        <v>0</v>
      </c>
      <c r="AV85" s="14"/>
      <c r="AW85" s="49">
        <v>0</v>
      </c>
      <c r="AX85" s="17">
        <f>AZ85-AY85</f>
        <v>1</v>
      </c>
      <c r="AY85" s="14"/>
      <c r="AZ85" s="49">
        <v>1</v>
      </c>
      <c r="BA85" s="17">
        <f>BC85-BB85</f>
        <v>2</v>
      </c>
      <c r="BB85" s="14"/>
      <c r="BC85" s="49">
        <f>AQ85+AT85+AW85+AZ85</f>
        <v>2</v>
      </c>
      <c r="BD85" s="106"/>
      <c r="BE85" s="17">
        <f>BG85-BF85</f>
        <v>1</v>
      </c>
      <c r="BF85" s="14"/>
      <c r="BG85" s="49">
        <v>1</v>
      </c>
      <c r="BH85" s="17">
        <f>BJ85-BI85</f>
        <v>1</v>
      </c>
      <c r="BI85" s="14"/>
      <c r="BJ85" s="49">
        <f>2-1</f>
        <v>1</v>
      </c>
      <c r="BK85" s="17">
        <f>BM85-BL85</f>
        <v>1</v>
      </c>
      <c r="BL85" s="14"/>
      <c r="BM85" s="49">
        <f>3-2</f>
        <v>1</v>
      </c>
      <c r="BN85" s="17">
        <f>BP85-BO85</f>
        <v>1</v>
      </c>
      <c r="BO85" s="14"/>
      <c r="BP85" s="49">
        <v>1</v>
      </c>
      <c r="BQ85" s="17">
        <f>BS85-BR85</f>
        <v>4</v>
      </c>
      <c r="BR85" s="14"/>
      <c r="BS85" s="49">
        <f>BG85+BJ85+BM85+BP85</f>
        <v>4</v>
      </c>
      <c r="BT85" s="106"/>
      <c r="BU85" s="17">
        <f>BW85-BV85</f>
        <v>1</v>
      </c>
      <c r="BV85" s="14"/>
      <c r="BW85" s="49">
        <v>1</v>
      </c>
      <c r="BX85" s="17">
        <f>BZ85-BY85</f>
        <v>0</v>
      </c>
      <c r="BY85" s="14"/>
      <c r="BZ85" s="49"/>
      <c r="CA85" s="17">
        <f>CC85-CB85</f>
        <v>0</v>
      </c>
      <c r="CB85" s="14"/>
      <c r="CC85" s="49"/>
      <c r="CD85" s="17">
        <f>CF85-CE85</f>
        <v>0</v>
      </c>
      <c r="CE85" s="14"/>
      <c r="CF85" s="49"/>
      <c r="CG85" s="17">
        <f>CI85-CH85</f>
        <v>1</v>
      </c>
      <c r="CH85" s="14"/>
      <c r="CI85" s="49">
        <f>BW85+BZ85+CC85+CF85</f>
        <v>1</v>
      </c>
    </row>
    <row r="86" spans="1:87" ht="12.75">
      <c r="A86" s="8" t="s">
        <v>34</v>
      </c>
      <c r="B86" s="106"/>
      <c r="C86" s="17">
        <f>E86-D86</f>
        <v>0</v>
      </c>
      <c r="D86" s="106"/>
      <c r="E86" s="94">
        <f>G86-F86</f>
        <v>0</v>
      </c>
      <c r="F86" s="106"/>
      <c r="G86" s="94">
        <f>I86-H86</f>
        <v>0</v>
      </c>
      <c r="H86" s="106"/>
      <c r="I86" s="17">
        <f>K86-J86</f>
        <v>0</v>
      </c>
      <c r="J86" s="14"/>
      <c r="K86" s="49">
        <v>0</v>
      </c>
      <c r="L86" s="17">
        <f>N86-M86</f>
        <v>0</v>
      </c>
      <c r="M86" s="14"/>
      <c r="N86" s="49">
        <v>0</v>
      </c>
      <c r="O86" s="17">
        <f>Q86-P86</f>
        <v>0</v>
      </c>
      <c r="P86" s="14"/>
      <c r="Q86" s="49">
        <v>0</v>
      </c>
      <c r="R86" s="17">
        <f>T86-S86</f>
        <v>0</v>
      </c>
      <c r="S86" s="14"/>
      <c r="T86" s="49">
        <v>0</v>
      </c>
      <c r="U86" s="17">
        <f>W86-V86</f>
        <v>0</v>
      </c>
      <c r="V86" s="14"/>
      <c r="W86" s="49">
        <f>K86+N86+Q86+T86</f>
        <v>0</v>
      </c>
      <c r="X86" s="106"/>
      <c r="Y86" s="94">
        <f>AA86-Z86</f>
        <v>0</v>
      </c>
      <c r="Z86" s="14"/>
      <c r="AA86" s="49">
        <v>0</v>
      </c>
      <c r="AB86" s="17">
        <f>AD86-AC86</f>
        <v>0</v>
      </c>
      <c r="AC86" s="14"/>
      <c r="AD86" s="49">
        <v>0</v>
      </c>
      <c r="AE86" s="17">
        <f>AG86-AF86</f>
        <v>0</v>
      </c>
      <c r="AF86" s="14"/>
      <c r="AG86" s="49">
        <v>0</v>
      </c>
      <c r="AH86" s="17">
        <f>AJ86-AI86</f>
        <v>0</v>
      </c>
      <c r="AI86" s="14"/>
      <c r="AJ86" s="49">
        <v>0</v>
      </c>
      <c r="AK86" s="17">
        <f>AM86-AL86</f>
        <v>0</v>
      </c>
      <c r="AL86" s="14"/>
      <c r="AM86" s="49">
        <f>AA86+AD86+AG86+AJ86</f>
        <v>0</v>
      </c>
      <c r="AN86" s="106"/>
      <c r="AO86" s="17">
        <f>AQ86-AP86</f>
        <v>0</v>
      </c>
      <c r="AP86" s="14"/>
      <c r="AQ86" s="49">
        <v>0</v>
      </c>
      <c r="AR86" s="17">
        <f>AT86-AS86</f>
        <v>0</v>
      </c>
      <c r="AS86" s="14"/>
      <c r="AT86" s="49">
        <v>0</v>
      </c>
      <c r="AU86" s="17">
        <f>AW86-AV86</f>
        <v>0</v>
      </c>
      <c r="AV86" s="14"/>
      <c r="AW86" s="49">
        <v>0</v>
      </c>
      <c r="AX86" s="17">
        <f>AZ86-AY86</f>
        <v>0</v>
      </c>
      <c r="AY86" s="14"/>
      <c r="AZ86" s="49">
        <v>0</v>
      </c>
      <c r="BA86" s="17">
        <f>BC86-BB86</f>
        <v>0</v>
      </c>
      <c r="BB86" s="14"/>
      <c r="BC86" s="49">
        <f>AQ86+AT86+AW86+AZ86</f>
        <v>0</v>
      </c>
      <c r="BD86" s="106"/>
      <c r="BE86" s="17">
        <f>BG86-BF86</f>
        <v>0</v>
      </c>
      <c r="BF86" s="14"/>
      <c r="BG86" s="49">
        <v>0</v>
      </c>
      <c r="BH86" s="17">
        <f>BJ86-BI86</f>
        <v>0</v>
      </c>
      <c r="BI86" s="14"/>
      <c r="BJ86" s="49">
        <v>0</v>
      </c>
      <c r="BK86" s="17">
        <f>BM86-BL86</f>
        <v>0</v>
      </c>
      <c r="BL86" s="14"/>
      <c r="BM86" s="49">
        <v>0</v>
      </c>
      <c r="BN86" s="17">
        <f>BP86-BO86</f>
        <v>0</v>
      </c>
      <c r="BO86" s="14"/>
      <c r="BP86" s="49">
        <v>0</v>
      </c>
      <c r="BQ86" s="17">
        <f>BS86-BR86</f>
        <v>0</v>
      </c>
      <c r="BR86" s="14"/>
      <c r="BS86" s="49">
        <f>BG86+BJ86+BM86+BP86</f>
        <v>0</v>
      </c>
      <c r="BT86" s="106"/>
      <c r="BU86" s="17">
        <f>BW86-BV86</f>
        <v>0</v>
      </c>
      <c r="BV86" s="14"/>
      <c r="BW86" s="49"/>
      <c r="BX86" s="17">
        <f>BZ86-BY86</f>
        <v>0</v>
      </c>
      <c r="BY86" s="14"/>
      <c r="BZ86" s="49"/>
      <c r="CA86" s="17">
        <f>CC86-CB86</f>
        <v>0</v>
      </c>
      <c r="CB86" s="14"/>
      <c r="CC86" s="49"/>
      <c r="CD86" s="17">
        <f>CF86-CE86</f>
        <v>0</v>
      </c>
      <c r="CE86" s="14"/>
      <c r="CF86" s="49"/>
      <c r="CG86" s="17">
        <f>CI86-CH86</f>
        <v>0</v>
      </c>
      <c r="CH86" s="14"/>
      <c r="CI86" s="49">
        <f>BW86+BZ86+CC86+CF86</f>
        <v>0</v>
      </c>
    </row>
    <row r="87" spans="1:87" ht="12.75">
      <c r="A87" s="8" t="s">
        <v>35</v>
      </c>
      <c r="B87" s="106"/>
      <c r="C87" s="17">
        <f>E87-D87</f>
        <v>0</v>
      </c>
      <c r="D87" s="106"/>
      <c r="E87" s="94">
        <f>G87-F87</f>
        <v>0</v>
      </c>
      <c r="F87" s="106"/>
      <c r="G87" s="94">
        <f>I87-H87</f>
        <v>0</v>
      </c>
      <c r="H87" s="106"/>
      <c r="I87" s="17">
        <f>K87-J87</f>
        <v>0</v>
      </c>
      <c r="J87" s="14"/>
      <c r="K87" s="49">
        <v>0</v>
      </c>
      <c r="L87" s="17">
        <f>N87-M87</f>
        <v>0</v>
      </c>
      <c r="M87" s="14"/>
      <c r="N87" s="49">
        <v>0</v>
      </c>
      <c r="O87" s="17">
        <f>Q87-P87</f>
        <v>0</v>
      </c>
      <c r="P87" s="14"/>
      <c r="Q87" s="49">
        <v>0</v>
      </c>
      <c r="R87" s="17">
        <f>T87-S87</f>
        <v>0</v>
      </c>
      <c r="S87" s="14"/>
      <c r="T87" s="49">
        <v>0</v>
      </c>
      <c r="U87" s="17">
        <f>W87-V87</f>
        <v>0</v>
      </c>
      <c r="V87" s="14"/>
      <c r="W87" s="49">
        <f>K87+N87+Q87+T87</f>
        <v>0</v>
      </c>
      <c r="X87" s="106"/>
      <c r="Y87" s="94">
        <f>AA87-Z87</f>
        <v>0</v>
      </c>
      <c r="Z87" s="14"/>
      <c r="AA87" s="49">
        <v>0</v>
      </c>
      <c r="AB87" s="17">
        <f>AD87-AC87</f>
        <v>0</v>
      </c>
      <c r="AC87" s="14"/>
      <c r="AD87" s="49">
        <v>0</v>
      </c>
      <c r="AE87" s="17">
        <f>AG87-AF87</f>
        <v>0</v>
      </c>
      <c r="AF87" s="14"/>
      <c r="AG87" s="49">
        <v>0</v>
      </c>
      <c r="AH87" s="17">
        <f>AJ87-AI87</f>
        <v>0</v>
      </c>
      <c r="AI87" s="14"/>
      <c r="AJ87" s="49">
        <v>0</v>
      </c>
      <c r="AK87" s="17">
        <f>AM87-AL87</f>
        <v>0</v>
      </c>
      <c r="AL87" s="14"/>
      <c r="AM87" s="49">
        <f>AA87+AD87+AG87+AJ87</f>
        <v>0</v>
      </c>
      <c r="AN87" s="106"/>
      <c r="AO87" s="17">
        <f>AQ87-AP87</f>
        <v>0</v>
      </c>
      <c r="AP87" s="14"/>
      <c r="AQ87" s="49">
        <v>0</v>
      </c>
      <c r="AR87" s="17">
        <f>AT87-AS87</f>
        <v>0</v>
      </c>
      <c r="AS87" s="14"/>
      <c r="AT87" s="49">
        <v>0</v>
      </c>
      <c r="AU87" s="17">
        <f>AW87-AV87</f>
        <v>0</v>
      </c>
      <c r="AV87" s="14"/>
      <c r="AW87" s="49">
        <v>0</v>
      </c>
      <c r="AX87" s="17">
        <f>AZ87-AY87</f>
        <v>0</v>
      </c>
      <c r="AY87" s="14"/>
      <c r="AZ87" s="49">
        <v>0</v>
      </c>
      <c r="BA87" s="17">
        <f>BC87-BB87</f>
        <v>0</v>
      </c>
      <c r="BB87" s="14"/>
      <c r="BC87" s="49">
        <f>AQ87+AT87+AW87+AZ87</f>
        <v>0</v>
      </c>
      <c r="BD87" s="106"/>
      <c r="BE87" s="17">
        <f>BG87-BF87</f>
        <v>17</v>
      </c>
      <c r="BF87" s="14"/>
      <c r="BG87" s="49">
        <v>17</v>
      </c>
      <c r="BH87" s="17">
        <f>BJ87-BI87</f>
        <v>28</v>
      </c>
      <c r="BI87" s="14"/>
      <c r="BJ87" s="49">
        <f>45-17</f>
        <v>28</v>
      </c>
      <c r="BK87" s="17">
        <f>BM87-BL87</f>
        <v>48</v>
      </c>
      <c r="BL87" s="14"/>
      <c r="BM87" s="49">
        <f>93-45</f>
        <v>48</v>
      </c>
      <c r="BN87" s="17">
        <f>BP87-BO87</f>
        <v>49</v>
      </c>
      <c r="BO87" s="14"/>
      <c r="BP87" s="49">
        <v>49</v>
      </c>
      <c r="BQ87" s="17">
        <f>BS87-BR87</f>
        <v>142</v>
      </c>
      <c r="BR87" s="14"/>
      <c r="BS87" s="49">
        <f>BG87+BJ87+BM87+BP87</f>
        <v>142</v>
      </c>
      <c r="BT87" s="106"/>
      <c r="BU87" s="17">
        <f>BW87-BV87</f>
        <v>43</v>
      </c>
      <c r="BV87" s="14"/>
      <c r="BW87" s="49">
        <v>43</v>
      </c>
      <c r="BX87" s="17">
        <f>BZ87-BY87</f>
        <v>0</v>
      </c>
      <c r="BY87" s="14"/>
      <c r="BZ87" s="49"/>
      <c r="CA87" s="17">
        <f>CC87-CB87</f>
        <v>0</v>
      </c>
      <c r="CB87" s="14"/>
      <c r="CC87" s="49"/>
      <c r="CD87" s="17">
        <f>CF87-CE87</f>
        <v>0</v>
      </c>
      <c r="CE87" s="14"/>
      <c r="CF87" s="49"/>
      <c r="CG87" s="17">
        <f>CI87-CH87</f>
        <v>43</v>
      </c>
      <c r="CH87" s="14"/>
      <c r="CI87" s="49">
        <f>BW87+BZ87+CC87+CF87</f>
        <v>43</v>
      </c>
    </row>
    <row r="88" spans="1:87" ht="12.75">
      <c r="A88" s="8" t="s">
        <v>73</v>
      </c>
      <c r="B88" s="106"/>
      <c r="C88" s="17">
        <f>E88-D88</f>
        <v>0</v>
      </c>
      <c r="D88" s="106"/>
      <c r="E88" s="94">
        <f>G88-F88</f>
        <v>0</v>
      </c>
      <c r="F88" s="106"/>
      <c r="G88" s="94">
        <f>I88-H88</f>
        <v>0</v>
      </c>
      <c r="H88" s="106"/>
      <c r="I88" s="17">
        <f>K88-J88</f>
        <v>0</v>
      </c>
      <c r="J88" s="14"/>
      <c r="K88" s="49">
        <v>0</v>
      </c>
      <c r="L88" s="17">
        <f>N88-M88</f>
        <v>0</v>
      </c>
      <c r="M88" s="14"/>
      <c r="N88" s="49">
        <v>0</v>
      </c>
      <c r="O88" s="17">
        <f>Q88-P88</f>
        <v>0</v>
      </c>
      <c r="P88" s="14"/>
      <c r="Q88" s="49">
        <v>0</v>
      </c>
      <c r="R88" s="17">
        <f>T88-S88</f>
        <v>0</v>
      </c>
      <c r="S88" s="14"/>
      <c r="T88" s="49">
        <v>0</v>
      </c>
      <c r="U88" s="17">
        <f>W88-V88</f>
        <v>0</v>
      </c>
      <c r="V88" s="14"/>
      <c r="W88" s="49">
        <f>K88+N88+Q88+T88</f>
        <v>0</v>
      </c>
      <c r="X88" s="106"/>
      <c r="Y88" s="94">
        <f>AA88-Z88</f>
        <v>0</v>
      </c>
      <c r="Z88" s="14"/>
      <c r="AA88" s="49">
        <v>0</v>
      </c>
      <c r="AB88" s="17">
        <f>AD88-AC88</f>
        <v>0</v>
      </c>
      <c r="AC88" s="14"/>
      <c r="AD88" s="49">
        <v>0</v>
      </c>
      <c r="AE88" s="17">
        <f>AG88-AF88</f>
        <v>0</v>
      </c>
      <c r="AF88" s="14"/>
      <c r="AG88" s="49">
        <v>0</v>
      </c>
      <c r="AH88" s="17">
        <f>AJ88-AI88</f>
        <v>0</v>
      </c>
      <c r="AI88" s="14"/>
      <c r="AJ88" s="49">
        <v>0</v>
      </c>
      <c r="AK88" s="17">
        <f>AM88-AL88</f>
        <v>0</v>
      </c>
      <c r="AL88" s="14"/>
      <c r="AM88" s="49">
        <f>AA88+AD88+AG88+AJ88</f>
        <v>0</v>
      </c>
      <c r="AN88" s="106"/>
      <c r="AO88" s="17">
        <f>AQ88-AP88</f>
        <v>0</v>
      </c>
      <c r="AP88" s="14"/>
      <c r="AQ88" s="49">
        <v>0</v>
      </c>
      <c r="AR88" s="17">
        <f>AT88-AS88</f>
        <v>0</v>
      </c>
      <c r="AS88" s="14"/>
      <c r="AT88" s="49">
        <v>0</v>
      </c>
      <c r="AU88" s="17">
        <f>AW88-AV88</f>
        <v>0</v>
      </c>
      <c r="AV88" s="14"/>
      <c r="AW88" s="49">
        <v>0</v>
      </c>
      <c r="AX88" s="17">
        <f>AZ88-AY88</f>
        <v>0</v>
      </c>
      <c r="AY88" s="14"/>
      <c r="AZ88" s="49">
        <v>0</v>
      </c>
      <c r="BA88" s="17">
        <f>BC88-BB88</f>
        <v>0</v>
      </c>
      <c r="BB88" s="14"/>
      <c r="BC88" s="49">
        <f>AQ88+AT88+AW88+AZ88</f>
        <v>0</v>
      </c>
      <c r="BD88" s="106"/>
      <c r="BE88" s="17">
        <f>BG88-BF88</f>
        <v>13</v>
      </c>
      <c r="BF88" s="14"/>
      <c r="BG88" s="49">
        <v>13</v>
      </c>
      <c r="BH88" s="17">
        <f>BJ88-BI88</f>
        <v>57</v>
      </c>
      <c r="BI88" s="14"/>
      <c r="BJ88" s="49">
        <f>70-13</f>
        <v>57</v>
      </c>
      <c r="BK88" s="17">
        <f>BM88-BL88</f>
        <v>57</v>
      </c>
      <c r="BL88" s="14"/>
      <c r="BM88" s="49">
        <f>127-70</f>
        <v>57</v>
      </c>
      <c r="BN88" s="17">
        <f>BP88-BO88</f>
        <v>55</v>
      </c>
      <c r="BO88" s="14"/>
      <c r="BP88" s="49">
        <v>55</v>
      </c>
      <c r="BQ88" s="17">
        <f>BS88-BR88</f>
        <v>182</v>
      </c>
      <c r="BR88" s="14"/>
      <c r="BS88" s="49">
        <f>BG88+BJ88+BM88+BP88</f>
        <v>182</v>
      </c>
      <c r="BT88" s="106"/>
      <c r="BU88" s="17">
        <f>BW88-BV88</f>
        <v>53</v>
      </c>
      <c r="BV88" s="14"/>
      <c r="BW88" s="49">
        <v>53</v>
      </c>
      <c r="BX88" s="17">
        <f>BZ88-BY88</f>
        <v>0</v>
      </c>
      <c r="BY88" s="14"/>
      <c r="BZ88" s="49"/>
      <c r="CA88" s="17">
        <f>CC88-CB88</f>
        <v>0</v>
      </c>
      <c r="CB88" s="14"/>
      <c r="CC88" s="49"/>
      <c r="CD88" s="17">
        <f>CF88-CE88</f>
        <v>0</v>
      </c>
      <c r="CE88" s="14"/>
      <c r="CF88" s="49"/>
      <c r="CG88" s="17">
        <f>CI88-CH88</f>
        <v>53</v>
      </c>
      <c r="CH88" s="14"/>
      <c r="CI88" s="49">
        <f>BW88+BZ88+CC88+CF88</f>
        <v>53</v>
      </c>
    </row>
    <row r="89" spans="1:87" ht="12.75">
      <c r="A89" s="8" t="s">
        <v>36</v>
      </c>
      <c r="B89" s="106"/>
      <c r="C89" s="17">
        <f>E89-D89</f>
        <v>0</v>
      </c>
      <c r="D89" s="106"/>
      <c r="E89" s="94">
        <f>G89-F89</f>
        <v>0</v>
      </c>
      <c r="F89" s="106"/>
      <c r="G89" s="94">
        <f>I89-H89</f>
        <v>0</v>
      </c>
      <c r="H89" s="106"/>
      <c r="I89" s="17">
        <f>K89-J89</f>
        <v>0</v>
      </c>
      <c r="J89" s="14"/>
      <c r="K89" s="49">
        <v>0</v>
      </c>
      <c r="L89" s="17">
        <f>N89-M89</f>
        <v>0</v>
      </c>
      <c r="M89" s="14"/>
      <c r="N89" s="49">
        <v>0</v>
      </c>
      <c r="O89" s="17">
        <f>Q89-P89</f>
        <v>0</v>
      </c>
      <c r="P89" s="14"/>
      <c r="Q89" s="49">
        <v>0</v>
      </c>
      <c r="R89" s="17">
        <f>T89-S89</f>
        <v>0</v>
      </c>
      <c r="S89" s="14"/>
      <c r="T89" s="49">
        <v>0</v>
      </c>
      <c r="U89" s="17">
        <f>W89-V89</f>
        <v>0</v>
      </c>
      <c r="V89" s="14"/>
      <c r="W89" s="49">
        <f>K89+N89+Q89+T89</f>
        <v>0</v>
      </c>
      <c r="X89" s="106"/>
      <c r="Y89" s="94">
        <f>AA89-Z89</f>
        <v>0</v>
      </c>
      <c r="Z89" s="14"/>
      <c r="AA89" s="49">
        <v>0</v>
      </c>
      <c r="AB89" s="17">
        <f>AD89-AC89</f>
        <v>0</v>
      </c>
      <c r="AC89" s="14"/>
      <c r="AD89" s="49">
        <v>0</v>
      </c>
      <c r="AE89" s="17">
        <f>AG89-AF89</f>
        <v>0</v>
      </c>
      <c r="AF89" s="14"/>
      <c r="AG89" s="49">
        <v>0</v>
      </c>
      <c r="AH89" s="17">
        <f>AJ89-AI89</f>
        <v>0</v>
      </c>
      <c r="AI89" s="14"/>
      <c r="AJ89" s="49">
        <v>0</v>
      </c>
      <c r="AK89" s="17">
        <f>AM89-AL89</f>
        <v>0</v>
      </c>
      <c r="AL89" s="14"/>
      <c r="AM89" s="49">
        <f>AA89+AD89+AG89+AJ89</f>
        <v>0</v>
      </c>
      <c r="AN89" s="106"/>
      <c r="AO89" s="17">
        <f>AQ89-AP89</f>
        <v>0</v>
      </c>
      <c r="AP89" s="14"/>
      <c r="AQ89" s="49">
        <v>0</v>
      </c>
      <c r="AR89" s="17">
        <f>AT89-AS89</f>
        <v>0</v>
      </c>
      <c r="AS89" s="14"/>
      <c r="AT89" s="49">
        <v>0</v>
      </c>
      <c r="AU89" s="17">
        <f>AW89-AV89</f>
        <v>0</v>
      </c>
      <c r="AV89" s="14"/>
      <c r="AW89" s="49">
        <v>0</v>
      </c>
      <c r="AX89" s="17">
        <f>AZ89-AY89</f>
        <v>0</v>
      </c>
      <c r="AY89" s="14"/>
      <c r="AZ89" s="49">
        <v>0</v>
      </c>
      <c r="BA89" s="17">
        <f>BC89-BB89</f>
        <v>0</v>
      </c>
      <c r="BB89" s="14"/>
      <c r="BC89" s="49">
        <f>AQ89+AT89+AW89+AZ89</f>
        <v>0</v>
      </c>
      <c r="BD89" s="106"/>
      <c r="BE89" s="17">
        <f>BG89-BF89</f>
        <v>0</v>
      </c>
      <c r="BF89" s="14"/>
      <c r="BG89" s="49">
        <v>0</v>
      </c>
      <c r="BH89" s="17">
        <f>BJ89-BI89</f>
        <v>0</v>
      </c>
      <c r="BI89" s="14"/>
      <c r="BJ89" s="49">
        <v>0</v>
      </c>
      <c r="BK89" s="17">
        <f>BM89-BL89</f>
        <v>0</v>
      </c>
      <c r="BL89" s="14"/>
      <c r="BM89" s="49">
        <v>0</v>
      </c>
      <c r="BN89" s="17">
        <f>BP89-BO89</f>
        <v>0</v>
      </c>
      <c r="BO89" s="14"/>
      <c r="BP89" s="49">
        <v>0</v>
      </c>
      <c r="BQ89" s="17">
        <f>BS89-BR89</f>
        <v>0</v>
      </c>
      <c r="BR89" s="14"/>
      <c r="BS89" s="49">
        <f>BG89+BJ89+BM89+BP89</f>
        <v>0</v>
      </c>
      <c r="BT89" s="106"/>
      <c r="BU89" s="17">
        <f>BW89-BV89</f>
        <v>0</v>
      </c>
      <c r="BV89" s="14"/>
      <c r="BW89" s="49"/>
      <c r="BX89" s="17">
        <f>BZ89-BY89</f>
        <v>0</v>
      </c>
      <c r="BY89" s="14"/>
      <c r="BZ89" s="49"/>
      <c r="CA89" s="17">
        <f>CC89-CB89</f>
        <v>0</v>
      </c>
      <c r="CB89" s="14"/>
      <c r="CC89" s="49"/>
      <c r="CD89" s="17">
        <f>CF89-CE89</f>
        <v>0</v>
      </c>
      <c r="CE89" s="14"/>
      <c r="CF89" s="49"/>
      <c r="CG89" s="17">
        <f>CI89-CH89</f>
        <v>0</v>
      </c>
      <c r="CH89" s="14"/>
      <c r="CI89" s="49">
        <f>BW89+BZ89+CC89+CF89</f>
        <v>0</v>
      </c>
    </row>
    <row r="90" spans="1:87" ht="13.5" thickBot="1">
      <c r="A90" s="10" t="s">
        <v>62</v>
      </c>
      <c r="B90" s="106"/>
      <c r="C90" s="5">
        <f>SUM(C85:C89)</f>
        <v>3</v>
      </c>
      <c r="D90" s="106"/>
      <c r="E90" s="6">
        <f>SUM(E85:E89)</f>
        <v>3</v>
      </c>
      <c r="F90" s="106"/>
      <c r="G90" s="6">
        <f>SUM(G85:G89)</f>
        <v>6</v>
      </c>
      <c r="H90" s="106"/>
      <c r="I90" s="5">
        <f aca="true" t="shared" si="116" ref="I90:W90">SUM(I85:I89)</f>
        <v>2</v>
      </c>
      <c r="J90" s="6">
        <f t="shared" si="116"/>
        <v>0</v>
      </c>
      <c r="K90" s="51">
        <f t="shared" si="116"/>
        <v>2</v>
      </c>
      <c r="L90" s="5">
        <f t="shared" si="116"/>
        <v>3</v>
      </c>
      <c r="M90" s="6">
        <f t="shared" si="116"/>
        <v>0</v>
      </c>
      <c r="N90" s="51">
        <f t="shared" si="116"/>
        <v>3</v>
      </c>
      <c r="O90" s="5">
        <f t="shared" si="116"/>
        <v>2</v>
      </c>
      <c r="P90" s="6">
        <f t="shared" si="116"/>
        <v>0</v>
      </c>
      <c r="Q90" s="51">
        <f t="shared" si="116"/>
        <v>2</v>
      </c>
      <c r="R90" s="5">
        <f t="shared" si="116"/>
        <v>0</v>
      </c>
      <c r="S90" s="6">
        <f t="shared" si="116"/>
        <v>0</v>
      </c>
      <c r="T90" s="51">
        <f t="shared" si="116"/>
        <v>0</v>
      </c>
      <c r="U90" s="5">
        <f t="shared" si="116"/>
        <v>7</v>
      </c>
      <c r="V90" s="6">
        <f t="shared" si="116"/>
        <v>0</v>
      </c>
      <c r="W90" s="51">
        <f t="shared" si="116"/>
        <v>7</v>
      </c>
      <c r="X90" s="106"/>
      <c r="Y90" s="6">
        <f aca="true" t="shared" si="117" ref="Y90:BS90">SUM(Y85:Y89)</f>
        <v>0</v>
      </c>
      <c r="Z90" s="6">
        <f t="shared" si="117"/>
        <v>0</v>
      </c>
      <c r="AA90" s="51">
        <f t="shared" si="117"/>
        <v>0</v>
      </c>
      <c r="AB90" s="5">
        <f t="shared" si="117"/>
        <v>1</v>
      </c>
      <c r="AC90" s="6">
        <f t="shared" si="117"/>
        <v>0</v>
      </c>
      <c r="AD90" s="51">
        <f t="shared" si="117"/>
        <v>1</v>
      </c>
      <c r="AE90" s="5">
        <f t="shared" si="117"/>
        <v>1</v>
      </c>
      <c r="AF90" s="6">
        <f t="shared" si="117"/>
        <v>0</v>
      </c>
      <c r="AG90" s="51">
        <f t="shared" si="117"/>
        <v>1</v>
      </c>
      <c r="AH90" s="5">
        <f t="shared" si="117"/>
        <v>0</v>
      </c>
      <c r="AI90" s="6">
        <f t="shared" si="117"/>
        <v>0</v>
      </c>
      <c r="AJ90" s="51">
        <f t="shared" si="117"/>
        <v>0</v>
      </c>
      <c r="AK90" s="5">
        <f t="shared" si="117"/>
        <v>2</v>
      </c>
      <c r="AL90" s="6">
        <f t="shared" si="117"/>
        <v>0</v>
      </c>
      <c r="AM90" s="51">
        <f t="shared" si="117"/>
        <v>2</v>
      </c>
      <c r="AN90" s="106"/>
      <c r="AO90" s="5">
        <f t="shared" si="117"/>
        <v>1</v>
      </c>
      <c r="AP90" s="6">
        <f t="shared" si="117"/>
        <v>0</v>
      </c>
      <c r="AQ90" s="51">
        <f t="shared" si="117"/>
        <v>1</v>
      </c>
      <c r="AR90" s="5">
        <f t="shared" si="117"/>
        <v>0</v>
      </c>
      <c r="AS90" s="6">
        <f t="shared" si="117"/>
        <v>0</v>
      </c>
      <c r="AT90" s="51">
        <f t="shared" si="117"/>
        <v>0</v>
      </c>
      <c r="AU90" s="5">
        <f t="shared" si="117"/>
        <v>0</v>
      </c>
      <c r="AV90" s="6">
        <f t="shared" si="117"/>
        <v>0</v>
      </c>
      <c r="AW90" s="51">
        <f t="shared" si="117"/>
        <v>0</v>
      </c>
      <c r="AX90" s="5">
        <f t="shared" si="117"/>
        <v>1</v>
      </c>
      <c r="AY90" s="6">
        <f t="shared" si="117"/>
        <v>0</v>
      </c>
      <c r="AZ90" s="51">
        <f t="shared" si="117"/>
        <v>1</v>
      </c>
      <c r="BA90" s="5">
        <f t="shared" si="117"/>
        <v>2</v>
      </c>
      <c r="BB90" s="6">
        <f t="shared" si="117"/>
        <v>0</v>
      </c>
      <c r="BC90" s="51">
        <f t="shared" si="117"/>
        <v>2</v>
      </c>
      <c r="BD90" s="106"/>
      <c r="BE90" s="5">
        <f t="shared" si="117"/>
        <v>31</v>
      </c>
      <c r="BF90" s="6">
        <f t="shared" si="117"/>
        <v>0</v>
      </c>
      <c r="BG90" s="51">
        <f t="shared" si="117"/>
        <v>31</v>
      </c>
      <c r="BH90" s="5">
        <f t="shared" si="117"/>
        <v>86</v>
      </c>
      <c r="BI90" s="6">
        <f t="shared" si="117"/>
        <v>0</v>
      </c>
      <c r="BJ90" s="51">
        <f t="shared" si="117"/>
        <v>86</v>
      </c>
      <c r="BK90" s="5">
        <f t="shared" si="117"/>
        <v>106</v>
      </c>
      <c r="BL90" s="6">
        <f t="shared" si="117"/>
        <v>0</v>
      </c>
      <c r="BM90" s="51">
        <f t="shared" si="117"/>
        <v>106</v>
      </c>
      <c r="BN90" s="5">
        <f t="shared" si="117"/>
        <v>105</v>
      </c>
      <c r="BO90" s="6">
        <f t="shared" si="117"/>
        <v>0</v>
      </c>
      <c r="BP90" s="51">
        <f t="shared" si="117"/>
        <v>105</v>
      </c>
      <c r="BQ90" s="5">
        <f t="shared" si="117"/>
        <v>328</v>
      </c>
      <c r="BR90" s="6">
        <f t="shared" si="117"/>
        <v>0</v>
      </c>
      <c r="BS90" s="51">
        <f t="shared" si="117"/>
        <v>328</v>
      </c>
      <c r="BT90" s="106"/>
      <c r="BU90" s="5">
        <f aca="true" t="shared" si="118" ref="BU90:CI90">SUM(BU85:BU89)</f>
        <v>97</v>
      </c>
      <c r="BV90" s="6">
        <f t="shared" si="118"/>
        <v>0</v>
      </c>
      <c r="BW90" s="51">
        <f t="shared" si="118"/>
        <v>97</v>
      </c>
      <c r="BX90" s="5">
        <f t="shared" si="118"/>
        <v>0</v>
      </c>
      <c r="BY90" s="6">
        <f t="shared" si="118"/>
        <v>0</v>
      </c>
      <c r="BZ90" s="51">
        <f t="shared" si="118"/>
        <v>0</v>
      </c>
      <c r="CA90" s="5">
        <f t="shared" si="118"/>
        <v>0</v>
      </c>
      <c r="CB90" s="6">
        <f t="shared" si="118"/>
        <v>0</v>
      </c>
      <c r="CC90" s="51">
        <f t="shared" si="118"/>
        <v>0</v>
      </c>
      <c r="CD90" s="5">
        <f t="shared" si="118"/>
        <v>0</v>
      </c>
      <c r="CE90" s="6">
        <f t="shared" si="118"/>
        <v>0</v>
      </c>
      <c r="CF90" s="51">
        <f t="shared" si="118"/>
        <v>0</v>
      </c>
      <c r="CG90" s="5">
        <f t="shared" si="118"/>
        <v>97</v>
      </c>
      <c r="CH90" s="6">
        <f t="shared" si="118"/>
        <v>0</v>
      </c>
      <c r="CI90" s="51">
        <f t="shared" si="118"/>
        <v>97</v>
      </c>
    </row>
    <row r="92" spans="5:87" ht="12.75">
      <c r="E92" s="2"/>
      <c r="G92" s="2"/>
      <c r="I92" s="2"/>
      <c r="K92" s="2"/>
      <c r="L92" s="2"/>
      <c r="N92" s="2"/>
      <c r="O92" s="2"/>
      <c r="Q92" s="2"/>
      <c r="R92" s="2"/>
      <c r="T92" s="2"/>
      <c r="U92" s="2"/>
      <c r="Y92" s="2"/>
      <c r="AA92" s="2"/>
      <c r="AB92" s="2"/>
      <c r="AD92" s="2"/>
      <c r="AE92" s="2"/>
      <c r="AG92" s="2"/>
      <c r="AH92" s="2"/>
      <c r="AJ92" s="2"/>
      <c r="AK92" s="2"/>
      <c r="AL92" s="2"/>
      <c r="AM92" s="2"/>
      <c r="AO92" s="2"/>
      <c r="AQ92" s="2"/>
      <c r="AR92" s="2"/>
      <c r="AT92" s="2"/>
      <c r="AU92" s="2"/>
      <c r="AW92" s="2"/>
      <c r="AX92" s="2"/>
      <c r="AZ92" s="2"/>
      <c r="BA92" s="2"/>
      <c r="BC92" s="2"/>
      <c r="BE92" s="2"/>
      <c r="BG92" s="2"/>
      <c r="BH92" s="2"/>
      <c r="BJ92" s="2"/>
      <c r="BK92" s="2"/>
      <c r="BM92" s="2"/>
      <c r="BN92" s="2"/>
      <c r="BQ92" s="2"/>
      <c r="BS92" s="2"/>
      <c r="BU92" s="2"/>
      <c r="BW92" s="2"/>
      <c r="BX92" s="2"/>
      <c r="BZ92" s="2"/>
      <c r="CA92" s="2"/>
      <c r="CC92" s="2"/>
      <c r="CD92" s="2"/>
      <c r="CG92" s="2"/>
      <c r="CI92" s="2"/>
    </row>
    <row r="94" spans="1:87" ht="12.75" hidden="1">
      <c r="A94" t="s">
        <v>63</v>
      </c>
      <c r="B94" s="91"/>
      <c r="C94" s="16">
        <f>C6-C55-C65-C69</f>
        <v>0</v>
      </c>
      <c r="D94" s="91"/>
      <c r="E94" s="16">
        <f>E6-E55-E65-E69</f>
        <v>-0.5</v>
      </c>
      <c r="F94" s="91"/>
      <c r="G94" s="16">
        <f>G6-G55-G65-G69</f>
        <v>-0.20000000000004547</v>
      </c>
      <c r="H94" s="91"/>
      <c r="I94" s="16">
        <f aca="true" t="shared" si="119" ref="I94:W94">I6-I55-I65-I69</f>
        <v>0.19999999999998863</v>
      </c>
      <c r="J94" s="16">
        <f t="shared" si="119"/>
        <v>0.1999999999999993</v>
      </c>
      <c r="K94" s="16">
        <f t="shared" si="119"/>
        <v>0.39999999999997726</v>
      </c>
      <c r="L94" s="16">
        <f t="shared" si="119"/>
        <v>-0.5</v>
      </c>
      <c r="M94" s="16">
        <f t="shared" si="119"/>
        <v>0.10000000000000142</v>
      </c>
      <c r="N94" s="16">
        <f t="shared" si="119"/>
        <v>-0.39999999999997726</v>
      </c>
      <c r="O94" s="16">
        <f t="shared" si="119"/>
        <v>-0.10000000000002274</v>
      </c>
      <c r="P94" s="16">
        <f t="shared" si="119"/>
        <v>0</v>
      </c>
      <c r="Q94" s="16">
        <f t="shared" si="119"/>
        <v>-0.10000000000002274</v>
      </c>
      <c r="R94" s="16">
        <f t="shared" si="119"/>
        <v>0.20000000000004547</v>
      </c>
      <c r="S94" s="16">
        <f t="shared" si="119"/>
        <v>-0.10000000000000142</v>
      </c>
      <c r="T94" s="16">
        <f t="shared" si="119"/>
        <v>0.10000000000002274</v>
      </c>
      <c r="U94" s="16">
        <f t="shared" si="119"/>
        <v>-0.20000000000004547</v>
      </c>
      <c r="V94" s="16">
        <f t="shared" si="119"/>
        <v>0.19999999999998863</v>
      </c>
      <c r="W94" s="16">
        <f t="shared" si="119"/>
        <v>0</v>
      </c>
      <c r="X94" s="91"/>
      <c r="Y94" s="16">
        <f aca="true" t="shared" si="120" ref="Y94:BS94">Y6-Y55-Y65-Y69</f>
        <v>0.5</v>
      </c>
      <c r="Z94" s="16">
        <f t="shared" si="120"/>
        <v>-0.20000000000000284</v>
      </c>
      <c r="AA94" s="16">
        <f t="shared" si="120"/>
        <v>0.30000000000001137</v>
      </c>
      <c r="AB94" s="16">
        <f t="shared" si="120"/>
        <v>-0.20000000000004547</v>
      </c>
      <c r="AC94" s="16">
        <f t="shared" si="120"/>
        <v>0.10000000000000142</v>
      </c>
      <c r="AD94" s="16">
        <f t="shared" si="120"/>
        <v>-0.10000000000002274</v>
      </c>
      <c r="AE94" s="16">
        <f t="shared" si="120"/>
        <v>0.6999999999999318</v>
      </c>
      <c r="AF94" s="16">
        <f t="shared" si="120"/>
        <v>-0.3999999999999986</v>
      </c>
      <c r="AG94" s="16">
        <f t="shared" si="120"/>
        <v>0.2999999999999545</v>
      </c>
      <c r="AH94" s="16">
        <f t="shared" si="120"/>
        <v>-0.3000000000000682</v>
      </c>
      <c r="AI94" s="16">
        <f t="shared" si="120"/>
        <v>0.20000000000000284</v>
      </c>
      <c r="AJ94" s="16">
        <f t="shared" si="120"/>
        <v>-0.10000000000002274</v>
      </c>
      <c r="AK94" s="16">
        <f t="shared" si="120"/>
        <v>0.7000000000000455</v>
      </c>
      <c r="AL94" s="16">
        <f t="shared" si="120"/>
        <v>-0.30000000000001137</v>
      </c>
      <c r="AM94" s="16">
        <f t="shared" si="120"/>
        <v>0.40000000000009095</v>
      </c>
      <c r="AN94" s="91"/>
      <c r="AO94" s="16">
        <f t="shared" si="120"/>
        <v>0.2999999999999545</v>
      </c>
      <c r="AP94" s="16">
        <f t="shared" si="120"/>
        <v>0</v>
      </c>
      <c r="AQ94" s="16">
        <f t="shared" si="120"/>
        <v>0.2999999999999545</v>
      </c>
      <c r="AR94" s="16">
        <f t="shared" si="120"/>
        <v>0.2999999999999545</v>
      </c>
      <c r="AS94" s="16">
        <f t="shared" si="120"/>
        <v>-0.4000000000000057</v>
      </c>
      <c r="AT94" s="16">
        <f t="shared" si="120"/>
        <v>-0.10000000000002274</v>
      </c>
      <c r="AU94" s="16">
        <f t="shared" si="120"/>
        <v>-0.2999999999999545</v>
      </c>
      <c r="AV94" s="16">
        <f t="shared" si="120"/>
        <v>-0.20000000000000284</v>
      </c>
      <c r="AW94" s="16">
        <f t="shared" si="120"/>
        <v>-0.5</v>
      </c>
      <c r="AX94" s="16">
        <f t="shared" si="120"/>
        <v>0.1999999999999318</v>
      </c>
      <c r="AY94" s="16">
        <f t="shared" si="120"/>
        <v>0.09999999999999432</v>
      </c>
      <c r="AZ94" s="16">
        <f t="shared" si="120"/>
        <v>0.2999999999999545</v>
      </c>
      <c r="BA94" s="16">
        <f t="shared" si="120"/>
        <v>0.5</v>
      </c>
      <c r="BB94" s="16">
        <f t="shared" si="120"/>
        <v>-0.5</v>
      </c>
      <c r="BC94" s="16">
        <f t="shared" si="120"/>
        <v>0</v>
      </c>
      <c r="BD94" s="91"/>
      <c r="BE94" s="16">
        <f t="shared" si="120"/>
        <v>-0.40000000000009095</v>
      </c>
      <c r="BF94" s="16">
        <f t="shared" si="120"/>
        <v>0.20000000000000284</v>
      </c>
      <c r="BG94" s="16">
        <f t="shared" si="120"/>
        <v>-0.20000000000004547</v>
      </c>
      <c r="BH94" s="16">
        <f t="shared" si="120"/>
        <v>0.6000000000000227</v>
      </c>
      <c r="BI94" s="16">
        <f t="shared" si="120"/>
        <v>0.09999999999999432</v>
      </c>
      <c r="BJ94" s="16">
        <f t="shared" si="120"/>
        <v>0.7000000000000455</v>
      </c>
      <c r="BK94" s="16">
        <f t="shared" si="120"/>
        <v>-0.20000000000004547</v>
      </c>
      <c r="BL94" s="16">
        <f t="shared" si="120"/>
        <v>0.09999999999999432</v>
      </c>
      <c r="BM94" s="16">
        <f t="shared" si="120"/>
        <v>-0.10000000000002274</v>
      </c>
      <c r="BN94" s="16">
        <f t="shared" si="120"/>
        <v>-0.5</v>
      </c>
      <c r="BO94" s="16">
        <f t="shared" si="120"/>
        <v>0.5</v>
      </c>
      <c r="BP94" s="16">
        <f t="shared" si="120"/>
        <v>0</v>
      </c>
      <c r="BQ94" s="16">
        <f t="shared" si="120"/>
        <v>-0.5</v>
      </c>
      <c r="BR94" s="16">
        <f t="shared" si="120"/>
        <v>0.8999999999999773</v>
      </c>
      <c r="BS94" s="16">
        <f t="shared" si="120"/>
        <v>0.40000000000009095</v>
      </c>
      <c r="BT94" s="91"/>
      <c r="BU94" s="16">
        <f aca="true" t="shared" si="121" ref="BU94:CI94">BU6-BU55-BU65-BU69</f>
        <v>-0.5</v>
      </c>
      <c r="BV94" s="16">
        <f t="shared" si="121"/>
        <v>0.09999999999999964</v>
      </c>
      <c r="BW94" s="16">
        <f t="shared" si="121"/>
        <v>-0.39999999999997726</v>
      </c>
      <c r="BX94" s="16">
        <f t="shared" si="121"/>
        <v>0</v>
      </c>
      <c r="BY94" s="16">
        <f t="shared" si="121"/>
        <v>0</v>
      </c>
      <c r="BZ94" s="16">
        <f t="shared" si="121"/>
        <v>0</v>
      </c>
      <c r="CA94" s="16">
        <f t="shared" si="121"/>
        <v>0</v>
      </c>
      <c r="CB94" s="16">
        <f t="shared" si="121"/>
        <v>0</v>
      </c>
      <c r="CC94" s="16">
        <f t="shared" si="121"/>
        <v>0</v>
      </c>
      <c r="CD94" s="16">
        <f t="shared" si="121"/>
        <v>0</v>
      </c>
      <c r="CE94" s="16">
        <f t="shared" si="121"/>
        <v>0</v>
      </c>
      <c r="CF94" s="16">
        <f t="shared" si="121"/>
        <v>0</v>
      </c>
      <c r="CG94" s="16">
        <f t="shared" si="121"/>
        <v>-0.5</v>
      </c>
      <c r="CH94" s="16">
        <f t="shared" si="121"/>
        <v>0.09999999999999964</v>
      </c>
      <c r="CI94" s="16">
        <f t="shared" si="121"/>
        <v>-0.39999999999997726</v>
      </c>
    </row>
    <row r="95" spans="1:87" ht="12.75" hidden="1">
      <c r="A95" t="s">
        <v>64</v>
      </c>
      <c r="B95" s="91"/>
      <c r="C95" s="16">
        <f>C6-C76-C83-C90</f>
        <v>0</v>
      </c>
      <c r="D95" s="91"/>
      <c r="E95" s="16">
        <f>E6-E76-E83-E90</f>
        <v>-0.5</v>
      </c>
      <c r="F95" s="91"/>
      <c r="G95" s="16">
        <f>G6-G76-G83-G90</f>
        <v>-0.20000000000004547</v>
      </c>
      <c r="H95" s="91"/>
      <c r="I95" s="16">
        <f aca="true" t="shared" si="122" ref="I95:W95">I6-I76-I83-I90</f>
        <v>0.19999999999998863</v>
      </c>
      <c r="J95" s="16">
        <f t="shared" si="122"/>
        <v>0.1999999999999993</v>
      </c>
      <c r="K95" s="16">
        <f t="shared" si="122"/>
        <v>0.39999999999997726</v>
      </c>
      <c r="L95" s="16">
        <f t="shared" si="122"/>
        <v>-0.5</v>
      </c>
      <c r="M95" s="16">
        <f t="shared" si="122"/>
        <v>0.10000000000000142</v>
      </c>
      <c r="N95" s="16">
        <f t="shared" si="122"/>
        <v>-0.39999999999997726</v>
      </c>
      <c r="O95" s="16">
        <f t="shared" si="122"/>
        <v>-0.10000000000002274</v>
      </c>
      <c r="P95" s="16">
        <f t="shared" si="122"/>
        <v>0</v>
      </c>
      <c r="Q95" s="16">
        <f t="shared" si="122"/>
        <v>-0.10000000000002274</v>
      </c>
      <c r="R95" s="16">
        <f t="shared" si="122"/>
        <v>0.20000000000004547</v>
      </c>
      <c r="S95" s="16">
        <f t="shared" si="122"/>
        <v>-0.10000000000000142</v>
      </c>
      <c r="T95" s="16">
        <f t="shared" si="122"/>
        <v>0.10000000000002274</v>
      </c>
      <c r="U95" s="16">
        <f t="shared" si="122"/>
        <v>-0.20000000000004547</v>
      </c>
      <c r="V95" s="16">
        <f t="shared" si="122"/>
        <v>0.19999999999998863</v>
      </c>
      <c r="W95" s="16">
        <f t="shared" si="122"/>
        <v>0</v>
      </c>
      <c r="X95" s="91"/>
      <c r="Y95" s="16">
        <f aca="true" t="shared" si="123" ref="Y95:BS95">Y6-Y76-Y83-Y90</f>
        <v>0.5</v>
      </c>
      <c r="Z95" s="16">
        <f t="shared" si="123"/>
        <v>-0.20000000000000284</v>
      </c>
      <c r="AA95" s="16">
        <f t="shared" si="123"/>
        <v>0.30000000000001137</v>
      </c>
      <c r="AB95" s="16">
        <f t="shared" si="123"/>
        <v>-0.20000000000004547</v>
      </c>
      <c r="AC95" s="16">
        <f t="shared" si="123"/>
        <v>0.10000000000000142</v>
      </c>
      <c r="AD95" s="16">
        <f t="shared" si="123"/>
        <v>-0.10000000000002274</v>
      </c>
      <c r="AE95" s="16">
        <f t="shared" si="123"/>
        <v>0.6999999999999318</v>
      </c>
      <c r="AF95" s="16">
        <f t="shared" si="123"/>
        <v>-0.3999999999999986</v>
      </c>
      <c r="AG95" s="16">
        <f t="shared" si="123"/>
        <v>0.2999999999999545</v>
      </c>
      <c r="AH95" s="16">
        <f t="shared" si="123"/>
        <v>-0.3000000000000682</v>
      </c>
      <c r="AI95" s="16">
        <f t="shared" si="123"/>
        <v>0.20000000000000284</v>
      </c>
      <c r="AJ95" s="16">
        <f t="shared" si="123"/>
        <v>-0.10000000000002274</v>
      </c>
      <c r="AK95" s="16">
        <f t="shared" si="123"/>
        <v>0.7000000000000455</v>
      </c>
      <c r="AL95" s="16">
        <f t="shared" si="123"/>
        <v>-0.30000000000001137</v>
      </c>
      <c r="AM95" s="16">
        <f t="shared" si="123"/>
        <v>0.40000000000009095</v>
      </c>
      <c r="AN95" s="91"/>
      <c r="AO95" s="16">
        <f t="shared" si="123"/>
        <v>0.2999999999999545</v>
      </c>
      <c r="AP95" s="16">
        <f t="shared" si="123"/>
        <v>0</v>
      </c>
      <c r="AQ95" s="16">
        <f t="shared" si="123"/>
        <v>0.2999999999999545</v>
      </c>
      <c r="AR95" s="16">
        <f t="shared" si="123"/>
        <v>0.2999999999999545</v>
      </c>
      <c r="AS95" s="16">
        <f t="shared" si="123"/>
        <v>-0.4000000000000057</v>
      </c>
      <c r="AT95" s="16">
        <f t="shared" si="123"/>
        <v>-0.10000000000002274</v>
      </c>
      <c r="AU95" s="16">
        <f t="shared" si="123"/>
        <v>-0.2999999999999545</v>
      </c>
      <c r="AV95" s="16">
        <f t="shared" si="123"/>
        <v>-0.20000000000000284</v>
      </c>
      <c r="AW95" s="16">
        <f t="shared" si="123"/>
        <v>-0.5</v>
      </c>
      <c r="AX95" s="16">
        <f t="shared" si="123"/>
        <v>0.1999999999999318</v>
      </c>
      <c r="AY95" s="16">
        <f t="shared" si="123"/>
        <v>0.09999999999999432</v>
      </c>
      <c r="AZ95" s="16">
        <f t="shared" si="123"/>
        <v>0.2999999999999545</v>
      </c>
      <c r="BA95" s="16">
        <f t="shared" si="123"/>
        <v>0.5</v>
      </c>
      <c r="BB95" s="16">
        <f t="shared" si="123"/>
        <v>-0.5</v>
      </c>
      <c r="BC95" s="16">
        <f t="shared" si="123"/>
        <v>0</v>
      </c>
      <c r="BD95" s="91"/>
      <c r="BE95" s="16">
        <f t="shared" si="123"/>
        <v>-0.40000000000009095</v>
      </c>
      <c r="BF95" s="16">
        <f t="shared" si="123"/>
        <v>0.20000000000000284</v>
      </c>
      <c r="BG95" s="16">
        <f t="shared" si="123"/>
        <v>-0.20000000000004547</v>
      </c>
      <c r="BH95" s="16">
        <f t="shared" si="123"/>
        <v>0.6000000000000227</v>
      </c>
      <c r="BI95" s="16">
        <f t="shared" si="123"/>
        <v>0.09999999999999432</v>
      </c>
      <c r="BJ95" s="16">
        <f t="shared" si="123"/>
        <v>0.7000000000000455</v>
      </c>
      <c r="BK95" s="16">
        <f t="shared" si="123"/>
        <v>-0.20000000000004547</v>
      </c>
      <c r="BL95" s="16">
        <f t="shared" si="123"/>
        <v>0.09999999999999432</v>
      </c>
      <c r="BM95" s="16">
        <f t="shared" si="123"/>
        <v>-0.10000000000002274</v>
      </c>
      <c r="BN95" s="16">
        <f t="shared" si="123"/>
        <v>-0.5</v>
      </c>
      <c r="BO95" s="16">
        <f t="shared" si="123"/>
        <v>0.5</v>
      </c>
      <c r="BP95" s="16">
        <f t="shared" si="123"/>
        <v>0</v>
      </c>
      <c r="BQ95" s="16">
        <f t="shared" si="123"/>
        <v>-0.5</v>
      </c>
      <c r="BR95" s="16">
        <f t="shared" si="123"/>
        <v>0.8999999999999773</v>
      </c>
      <c r="BS95" s="16">
        <f t="shared" si="123"/>
        <v>0.40000000000009095</v>
      </c>
      <c r="BT95" s="91"/>
      <c r="BU95" s="16">
        <f aca="true" t="shared" si="124" ref="BU95:CI95">BU6-BU76-BU83-BU90</f>
        <v>-0.5</v>
      </c>
      <c r="BV95" s="16">
        <f t="shared" si="124"/>
        <v>0.09999999999999964</v>
      </c>
      <c r="BW95" s="16">
        <f t="shared" si="124"/>
        <v>-0.39999999999997726</v>
      </c>
      <c r="BX95" s="16">
        <f t="shared" si="124"/>
        <v>0</v>
      </c>
      <c r="BY95" s="16">
        <f t="shared" si="124"/>
        <v>0</v>
      </c>
      <c r="BZ95" s="16">
        <f t="shared" si="124"/>
        <v>0</v>
      </c>
      <c r="CA95" s="16">
        <f t="shared" si="124"/>
        <v>0</v>
      </c>
      <c r="CB95" s="16">
        <f t="shared" si="124"/>
        <v>0</v>
      </c>
      <c r="CC95" s="16">
        <f t="shared" si="124"/>
        <v>0</v>
      </c>
      <c r="CD95" s="16">
        <f t="shared" si="124"/>
        <v>0</v>
      </c>
      <c r="CE95" s="16">
        <f t="shared" si="124"/>
        <v>0</v>
      </c>
      <c r="CF95" s="16">
        <f t="shared" si="124"/>
        <v>0</v>
      </c>
      <c r="CG95" s="16">
        <f t="shared" si="124"/>
        <v>-0.5</v>
      </c>
      <c r="CH95" s="16">
        <f t="shared" si="124"/>
        <v>0.09999999999999964</v>
      </c>
      <c r="CI95" s="16">
        <f t="shared" si="124"/>
        <v>-0.39999999999997726</v>
      </c>
    </row>
    <row r="96" spans="1:87" ht="12.75" hidden="1">
      <c r="A96" t="s">
        <v>65</v>
      </c>
      <c r="B96" s="92"/>
      <c r="C96" s="2">
        <f>C55-C76</f>
        <v>0</v>
      </c>
      <c r="D96" s="92"/>
      <c r="E96" s="2">
        <f>E55-E76</f>
        <v>0</v>
      </c>
      <c r="F96" s="92"/>
      <c r="G96" s="2">
        <f>G55-G76</f>
        <v>0</v>
      </c>
      <c r="H96" s="92"/>
      <c r="I96" s="2">
        <f>I55-I76</f>
        <v>0</v>
      </c>
      <c r="J96" s="2">
        <f aca="true" t="shared" si="125" ref="J96:W96">J55-J76</f>
        <v>0</v>
      </c>
      <c r="K96" s="2">
        <f t="shared" si="125"/>
        <v>0</v>
      </c>
      <c r="L96" s="2">
        <f t="shared" si="125"/>
        <v>0</v>
      </c>
      <c r="M96" s="2">
        <f t="shared" si="125"/>
        <v>0</v>
      </c>
      <c r="N96" s="2">
        <f t="shared" si="125"/>
        <v>0</v>
      </c>
      <c r="O96" s="2">
        <f t="shared" si="125"/>
        <v>0</v>
      </c>
      <c r="P96" s="2">
        <f t="shared" si="125"/>
        <v>0</v>
      </c>
      <c r="Q96" s="2">
        <f t="shared" si="125"/>
        <v>0</v>
      </c>
      <c r="R96" s="2">
        <f t="shared" si="125"/>
        <v>0</v>
      </c>
      <c r="S96" s="2">
        <f t="shared" si="125"/>
        <v>0</v>
      </c>
      <c r="T96" s="2">
        <f t="shared" si="125"/>
        <v>0</v>
      </c>
      <c r="U96" s="2">
        <f t="shared" si="125"/>
        <v>0</v>
      </c>
      <c r="V96" s="2">
        <f t="shared" si="125"/>
        <v>0</v>
      </c>
      <c r="W96" s="2">
        <f t="shared" si="125"/>
        <v>0</v>
      </c>
      <c r="X96" s="92"/>
      <c r="Y96" s="2">
        <f>Y55-Y76</f>
        <v>0</v>
      </c>
      <c r="Z96" s="2">
        <f aca="true" t="shared" si="126" ref="Z96:AM96">Z55-Z76</f>
        <v>0</v>
      </c>
      <c r="AA96" s="2">
        <f t="shared" si="126"/>
        <v>0</v>
      </c>
      <c r="AB96" s="2">
        <f t="shared" si="126"/>
        <v>0</v>
      </c>
      <c r="AC96" s="2">
        <f t="shared" si="126"/>
        <v>0</v>
      </c>
      <c r="AD96" s="2">
        <f t="shared" si="126"/>
        <v>0</v>
      </c>
      <c r="AE96" s="2">
        <f t="shared" si="126"/>
        <v>0</v>
      </c>
      <c r="AF96" s="2">
        <f t="shared" si="126"/>
        <v>0</v>
      </c>
      <c r="AG96" s="2">
        <f t="shared" si="126"/>
        <v>0</v>
      </c>
      <c r="AH96" s="2">
        <f t="shared" si="126"/>
        <v>0</v>
      </c>
      <c r="AI96" s="2">
        <f t="shared" si="126"/>
        <v>0</v>
      </c>
      <c r="AJ96" s="2">
        <f t="shared" si="126"/>
        <v>0</v>
      </c>
      <c r="AK96" s="2">
        <f t="shared" si="126"/>
        <v>0</v>
      </c>
      <c r="AL96" s="2">
        <f t="shared" si="126"/>
        <v>0</v>
      </c>
      <c r="AM96" s="2">
        <f t="shared" si="126"/>
        <v>0</v>
      </c>
      <c r="AN96" s="92"/>
      <c r="AO96" s="2">
        <f>AO55-AO76</f>
        <v>0</v>
      </c>
      <c r="AP96" s="2">
        <f aca="true" t="shared" si="127" ref="AP96:BC96">AP55-AP76</f>
        <v>0</v>
      </c>
      <c r="AQ96" s="2">
        <f t="shared" si="127"/>
        <v>0</v>
      </c>
      <c r="AR96" s="2">
        <f t="shared" si="127"/>
        <v>0</v>
      </c>
      <c r="AS96" s="2">
        <f t="shared" si="127"/>
        <v>0</v>
      </c>
      <c r="AT96" s="2">
        <f t="shared" si="127"/>
        <v>0</v>
      </c>
      <c r="AU96" s="2">
        <f t="shared" si="127"/>
        <v>0</v>
      </c>
      <c r="AV96" s="2">
        <f t="shared" si="127"/>
        <v>0</v>
      </c>
      <c r="AW96" s="2">
        <f t="shared" si="127"/>
        <v>0</v>
      </c>
      <c r="AX96" s="2">
        <f t="shared" si="127"/>
        <v>0</v>
      </c>
      <c r="AY96" s="2">
        <f t="shared" si="127"/>
        <v>0</v>
      </c>
      <c r="AZ96" s="2">
        <f t="shared" si="127"/>
        <v>0</v>
      </c>
      <c r="BA96" s="2">
        <f t="shared" si="127"/>
        <v>0</v>
      </c>
      <c r="BB96" s="2">
        <f t="shared" si="127"/>
        <v>0</v>
      </c>
      <c r="BC96" s="2">
        <f t="shared" si="127"/>
        <v>0</v>
      </c>
      <c r="BD96" s="92"/>
      <c r="BE96" s="2">
        <f>BE55-BE76</f>
        <v>0</v>
      </c>
      <c r="BF96" s="2">
        <f aca="true" t="shared" si="128" ref="BF96:BS96">BF55-BF76</f>
        <v>0</v>
      </c>
      <c r="BG96" s="2">
        <f t="shared" si="128"/>
        <v>0</v>
      </c>
      <c r="BH96" s="2">
        <f t="shared" si="128"/>
        <v>0</v>
      </c>
      <c r="BI96" s="2">
        <f t="shared" si="128"/>
        <v>0</v>
      </c>
      <c r="BJ96" s="2">
        <f t="shared" si="128"/>
        <v>0</v>
      </c>
      <c r="BK96" s="2">
        <f t="shared" si="128"/>
        <v>0</v>
      </c>
      <c r="BL96" s="2">
        <f t="shared" si="128"/>
        <v>0</v>
      </c>
      <c r="BM96" s="2">
        <f t="shared" si="128"/>
        <v>0</v>
      </c>
      <c r="BN96" s="2">
        <f t="shared" si="128"/>
        <v>0</v>
      </c>
      <c r="BO96" s="2">
        <f t="shared" si="128"/>
        <v>0</v>
      </c>
      <c r="BP96" s="2">
        <f t="shared" si="128"/>
        <v>0</v>
      </c>
      <c r="BQ96" s="2">
        <f t="shared" si="128"/>
        <v>0</v>
      </c>
      <c r="BR96" s="2">
        <f t="shared" si="128"/>
        <v>0</v>
      </c>
      <c r="BS96" s="2">
        <f t="shared" si="128"/>
        <v>0</v>
      </c>
      <c r="BT96" s="92"/>
      <c r="BU96" s="2">
        <f>BU55-BU76</f>
        <v>0</v>
      </c>
      <c r="BV96" s="2">
        <f aca="true" t="shared" si="129" ref="BV96:CI96">BV55-BV76</f>
        <v>0</v>
      </c>
      <c r="BW96" s="2">
        <f t="shared" si="129"/>
        <v>0</v>
      </c>
      <c r="BX96" s="2">
        <f t="shared" si="129"/>
        <v>0</v>
      </c>
      <c r="BY96" s="2">
        <f t="shared" si="129"/>
        <v>0</v>
      </c>
      <c r="BZ96" s="2">
        <f t="shared" si="129"/>
        <v>0</v>
      </c>
      <c r="CA96" s="2">
        <f t="shared" si="129"/>
        <v>0</v>
      </c>
      <c r="CB96" s="2">
        <f t="shared" si="129"/>
        <v>0</v>
      </c>
      <c r="CC96" s="2">
        <f t="shared" si="129"/>
        <v>0</v>
      </c>
      <c r="CD96" s="2">
        <f t="shared" si="129"/>
        <v>0</v>
      </c>
      <c r="CE96" s="2">
        <f t="shared" si="129"/>
        <v>0</v>
      </c>
      <c r="CF96" s="2">
        <f t="shared" si="129"/>
        <v>0</v>
      </c>
      <c r="CG96" s="2">
        <f t="shared" si="129"/>
        <v>0</v>
      </c>
      <c r="CH96" s="2">
        <f t="shared" si="129"/>
        <v>0</v>
      </c>
      <c r="CI96" s="2">
        <f t="shared" si="129"/>
        <v>0</v>
      </c>
    </row>
    <row r="97" spans="1:87" ht="12.75" hidden="1">
      <c r="A97" t="s">
        <v>66</v>
      </c>
      <c r="B97" s="92"/>
      <c r="C97" s="2">
        <f>C65-C83</f>
        <v>0</v>
      </c>
      <c r="D97" s="92"/>
      <c r="E97" s="2">
        <f>E65-E83</f>
        <v>0</v>
      </c>
      <c r="F97" s="92"/>
      <c r="G97" s="2">
        <f>G65-G83</f>
        <v>0</v>
      </c>
      <c r="H97" s="92"/>
      <c r="I97" s="2">
        <f>I65-I83</f>
        <v>0</v>
      </c>
      <c r="J97" s="2">
        <f aca="true" t="shared" si="130" ref="J97:W97">J65-J83</f>
        <v>0</v>
      </c>
      <c r="K97" s="2">
        <f t="shared" si="130"/>
        <v>0</v>
      </c>
      <c r="L97" s="2">
        <f t="shared" si="130"/>
        <v>0</v>
      </c>
      <c r="M97" s="2">
        <f t="shared" si="130"/>
        <v>0</v>
      </c>
      <c r="N97" s="2">
        <f t="shared" si="130"/>
        <v>0</v>
      </c>
      <c r="O97" s="2">
        <f t="shared" si="130"/>
        <v>0</v>
      </c>
      <c r="P97" s="2">
        <f t="shared" si="130"/>
        <v>0</v>
      </c>
      <c r="Q97" s="2">
        <f t="shared" si="130"/>
        <v>0</v>
      </c>
      <c r="R97" s="2">
        <f t="shared" si="130"/>
        <v>0</v>
      </c>
      <c r="S97" s="2">
        <f t="shared" si="130"/>
        <v>0</v>
      </c>
      <c r="T97" s="2">
        <f t="shared" si="130"/>
        <v>0</v>
      </c>
      <c r="U97" s="2">
        <f t="shared" si="130"/>
        <v>0</v>
      </c>
      <c r="V97" s="2">
        <f t="shared" si="130"/>
        <v>0</v>
      </c>
      <c r="W97" s="2">
        <f t="shared" si="130"/>
        <v>0</v>
      </c>
      <c r="X97" s="92"/>
      <c r="Y97" s="2">
        <f>Y65-Y83</f>
        <v>0</v>
      </c>
      <c r="Z97" s="2">
        <f aca="true" t="shared" si="131" ref="Z97:AM97">Z65-Z83</f>
        <v>0</v>
      </c>
      <c r="AA97" s="2">
        <f t="shared" si="131"/>
        <v>0</v>
      </c>
      <c r="AB97" s="2">
        <f t="shared" si="131"/>
        <v>0</v>
      </c>
      <c r="AC97" s="2">
        <f t="shared" si="131"/>
        <v>0</v>
      </c>
      <c r="AD97" s="2">
        <f t="shared" si="131"/>
        <v>0</v>
      </c>
      <c r="AE97" s="2">
        <f t="shared" si="131"/>
        <v>0</v>
      </c>
      <c r="AF97" s="2">
        <f t="shared" si="131"/>
        <v>0</v>
      </c>
      <c r="AG97" s="2">
        <f t="shared" si="131"/>
        <v>0</v>
      </c>
      <c r="AH97" s="2">
        <f t="shared" si="131"/>
        <v>0</v>
      </c>
      <c r="AI97" s="2">
        <f t="shared" si="131"/>
        <v>0</v>
      </c>
      <c r="AJ97" s="2">
        <f t="shared" si="131"/>
        <v>0</v>
      </c>
      <c r="AK97" s="2">
        <f t="shared" si="131"/>
        <v>0</v>
      </c>
      <c r="AL97" s="2">
        <f t="shared" si="131"/>
        <v>0</v>
      </c>
      <c r="AM97" s="2">
        <f t="shared" si="131"/>
        <v>0</v>
      </c>
      <c r="AN97" s="92"/>
      <c r="AO97" s="2">
        <f>AO65-AO83</f>
        <v>0</v>
      </c>
      <c r="AP97" s="2">
        <f aca="true" t="shared" si="132" ref="AP97:BC97">AP65-AP83</f>
        <v>0</v>
      </c>
      <c r="AQ97" s="2">
        <f t="shared" si="132"/>
        <v>0</v>
      </c>
      <c r="AR97" s="2">
        <f t="shared" si="132"/>
        <v>0</v>
      </c>
      <c r="AS97" s="2">
        <f t="shared" si="132"/>
        <v>0</v>
      </c>
      <c r="AT97" s="2">
        <f t="shared" si="132"/>
        <v>0</v>
      </c>
      <c r="AU97" s="2">
        <f t="shared" si="132"/>
        <v>0</v>
      </c>
      <c r="AV97" s="2">
        <f t="shared" si="132"/>
        <v>0</v>
      </c>
      <c r="AW97" s="2">
        <f t="shared" si="132"/>
        <v>0</v>
      </c>
      <c r="AX97" s="2">
        <f t="shared" si="132"/>
        <v>0</v>
      </c>
      <c r="AY97" s="2">
        <f t="shared" si="132"/>
        <v>0</v>
      </c>
      <c r="AZ97" s="2">
        <f t="shared" si="132"/>
        <v>0</v>
      </c>
      <c r="BA97" s="2">
        <f t="shared" si="132"/>
        <v>0</v>
      </c>
      <c r="BB97" s="2">
        <f t="shared" si="132"/>
        <v>0</v>
      </c>
      <c r="BC97" s="2">
        <f t="shared" si="132"/>
        <v>0</v>
      </c>
      <c r="BD97" s="92"/>
      <c r="BE97" s="2">
        <f>BE65-BE83</f>
        <v>0</v>
      </c>
      <c r="BF97" s="2">
        <f aca="true" t="shared" si="133" ref="BF97:BS97">BF65-BF83</f>
        <v>0</v>
      </c>
      <c r="BG97" s="2">
        <f t="shared" si="133"/>
        <v>0</v>
      </c>
      <c r="BH97" s="2">
        <f t="shared" si="133"/>
        <v>0</v>
      </c>
      <c r="BI97" s="2">
        <f t="shared" si="133"/>
        <v>0</v>
      </c>
      <c r="BJ97" s="2">
        <f t="shared" si="133"/>
        <v>0</v>
      </c>
      <c r="BK97" s="2">
        <f t="shared" si="133"/>
        <v>0</v>
      </c>
      <c r="BL97" s="2">
        <f t="shared" si="133"/>
        <v>0</v>
      </c>
      <c r="BM97" s="2">
        <f t="shared" si="133"/>
        <v>0</v>
      </c>
      <c r="BN97" s="2">
        <f t="shared" si="133"/>
        <v>0</v>
      </c>
      <c r="BO97" s="2">
        <f t="shared" si="133"/>
        <v>0</v>
      </c>
      <c r="BP97" s="2">
        <f t="shared" si="133"/>
        <v>0</v>
      </c>
      <c r="BQ97" s="2">
        <f t="shared" si="133"/>
        <v>0</v>
      </c>
      <c r="BR97" s="2">
        <f t="shared" si="133"/>
        <v>0</v>
      </c>
      <c r="BS97" s="2">
        <f t="shared" si="133"/>
        <v>0</v>
      </c>
      <c r="BT97" s="92"/>
      <c r="BU97" s="2">
        <f>BU65-BU83</f>
        <v>0</v>
      </c>
      <c r="BV97" s="2">
        <f aca="true" t="shared" si="134" ref="BV97:CI97">BV65-BV83</f>
        <v>0</v>
      </c>
      <c r="BW97" s="2">
        <f t="shared" si="134"/>
        <v>0</v>
      </c>
      <c r="BX97" s="2">
        <f t="shared" si="134"/>
        <v>0</v>
      </c>
      <c r="BY97" s="2">
        <f t="shared" si="134"/>
        <v>0</v>
      </c>
      <c r="BZ97" s="2">
        <f t="shared" si="134"/>
        <v>0</v>
      </c>
      <c r="CA97" s="2">
        <f t="shared" si="134"/>
        <v>0</v>
      </c>
      <c r="CB97" s="2">
        <f t="shared" si="134"/>
        <v>0</v>
      </c>
      <c r="CC97" s="2">
        <f t="shared" si="134"/>
        <v>0</v>
      </c>
      <c r="CD97" s="2">
        <f t="shared" si="134"/>
        <v>0</v>
      </c>
      <c r="CE97" s="2">
        <f t="shared" si="134"/>
        <v>0</v>
      </c>
      <c r="CF97" s="2">
        <f t="shared" si="134"/>
        <v>0</v>
      </c>
      <c r="CG97" s="2">
        <f t="shared" si="134"/>
        <v>0</v>
      </c>
      <c r="CH97" s="2">
        <f t="shared" si="134"/>
        <v>0</v>
      </c>
      <c r="CI97" s="2">
        <f t="shared" si="134"/>
        <v>0</v>
      </c>
    </row>
    <row r="98" spans="1:87" ht="12.75" hidden="1">
      <c r="A98" t="s">
        <v>67</v>
      </c>
      <c r="B98" s="92"/>
      <c r="C98" s="2">
        <f>C69-C90</f>
        <v>0</v>
      </c>
      <c r="D98" s="92"/>
      <c r="E98" s="2">
        <f>E69-E90</f>
        <v>0</v>
      </c>
      <c r="F98" s="92"/>
      <c r="G98" s="2">
        <f>G69-G90</f>
        <v>0</v>
      </c>
      <c r="H98" s="92"/>
      <c r="I98" s="2">
        <f>I69-I90</f>
        <v>0</v>
      </c>
      <c r="J98" s="2">
        <f aca="true" t="shared" si="135" ref="J98:W98">J69-J90</f>
        <v>0</v>
      </c>
      <c r="K98" s="2">
        <f t="shared" si="135"/>
        <v>0</v>
      </c>
      <c r="L98" s="2">
        <f t="shared" si="135"/>
        <v>0</v>
      </c>
      <c r="M98" s="2">
        <f t="shared" si="135"/>
        <v>0</v>
      </c>
      <c r="N98" s="2">
        <f t="shared" si="135"/>
        <v>0</v>
      </c>
      <c r="O98" s="2">
        <f t="shared" si="135"/>
        <v>0</v>
      </c>
      <c r="P98" s="2">
        <f t="shared" si="135"/>
        <v>0</v>
      </c>
      <c r="Q98" s="2">
        <f t="shared" si="135"/>
        <v>0</v>
      </c>
      <c r="R98" s="2">
        <f t="shared" si="135"/>
        <v>0</v>
      </c>
      <c r="S98" s="2">
        <f t="shared" si="135"/>
        <v>0</v>
      </c>
      <c r="T98" s="2">
        <f t="shared" si="135"/>
        <v>0</v>
      </c>
      <c r="U98" s="2">
        <f t="shared" si="135"/>
        <v>0</v>
      </c>
      <c r="V98" s="2">
        <f t="shared" si="135"/>
        <v>0</v>
      </c>
      <c r="W98" s="2">
        <f t="shared" si="135"/>
        <v>0</v>
      </c>
      <c r="X98" s="92"/>
      <c r="Y98" s="2">
        <f>Y69-Y90</f>
        <v>0</v>
      </c>
      <c r="Z98" s="2">
        <f aca="true" t="shared" si="136" ref="Z98:AM98">Z69-Z90</f>
        <v>0</v>
      </c>
      <c r="AA98" s="2">
        <f t="shared" si="136"/>
        <v>0</v>
      </c>
      <c r="AB98" s="2">
        <f t="shared" si="136"/>
        <v>0</v>
      </c>
      <c r="AC98" s="2">
        <f t="shared" si="136"/>
        <v>0</v>
      </c>
      <c r="AD98" s="2">
        <f t="shared" si="136"/>
        <v>0</v>
      </c>
      <c r="AE98" s="2">
        <f t="shared" si="136"/>
        <v>0</v>
      </c>
      <c r="AF98" s="2">
        <f t="shared" si="136"/>
        <v>0</v>
      </c>
      <c r="AG98" s="2">
        <f t="shared" si="136"/>
        <v>0</v>
      </c>
      <c r="AH98" s="2">
        <f t="shared" si="136"/>
        <v>0</v>
      </c>
      <c r="AI98" s="2">
        <f t="shared" si="136"/>
        <v>0</v>
      </c>
      <c r="AJ98" s="2">
        <f t="shared" si="136"/>
        <v>0</v>
      </c>
      <c r="AK98" s="2">
        <f t="shared" si="136"/>
        <v>0</v>
      </c>
      <c r="AL98" s="2">
        <f t="shared" si="136"/>
        <v>0</v>
      </c>
      <c r="AM98" s="2">
        <f t="shared" si="136"/>
        <v>0</v>
      </c>
      <c r="AN98" s="92"/>
      <c r="AO98" s="2">
        <f>AO69-AO90</f>
        <v>0</v>
      </c>
      <c r="AP98" s="2">
        <f aca="true" t="shared" si="137" ref="AP98:BC98">AP69-AP90</f>
        <v>0</v>
      </c>
      <c r="AQ98" s="2">
        <f t="shared" si="137"/>
        <v>0</v>
      </c>
      <c r="AR98" s="2">
        <f t="shared" si="137"/>
        <v>0</v>
      </c>
      <c r="AS98" s="2">
        <f t="shared" si="137"/>
        <v>0</v>
      </c>
      <c r="AT98" s="2">
        <f t="shared" si="137"/>
        <v>0</v>
      </c>
      <c r="AU98" s="2">
        <f t="shared" si="137"/>
        <v>0</v>
      </c>
      <c r="AV98" s="2">
        <f t="shared" si="137"/>
        <v>0</v>
      </c>
      <c r="AW98" s="2">
        <f t="shared" si="137"/>
        <v>0</v>
      </c>
      <c r="AX98" s="2">
        <f>AX69-AX90</f>
        <v>0</v>
      </c>
      <c r="AY98" s="2">
        <f t="shared" si="137"/>
        <v>0</v>
      </c>
      <c r="AZ98" s="2">
        <f t="shared" si="137"/>
        <v>0</v>
      </c>
      <c r="BA98" s="2">
        <f t="shared" si="137"/>
        <v>0</v>
      </c>
      <c r="BB98" s="2">
        <f t="shared" si="137"/>
        <v>0</v>
      </c>
      <c r="BC98" s="2">
        <f t="shared" si="137"/>
        <v>0</v>
      </c>
      <c r="BD98" s="92"/>
      <c r="BE98" s="2">
        <f>BE69-BE90</f>
        <v>0</v>
      </c>
      <c r="BF98" s="2">
        <f aca="true" t="shared" si="138" ref="BF98:BS98">BF69-BF90</f>
        <v>0</v>
      </c>
      <c r="BG98" s="2">
        <f t="shared" si="138"/>
        <v>0</v>
      </c>
      <c r="BH98" s="2">
        <f t="shared" si="138"/>
        <v>0</v>
      </c>
      <c r="BI98" s="2">
        <f t="shared" si="138"/>
        <v>0</v>
      </c>
      <c r="BJ98" s="2">
        <f t="shared" si="138"/>
        <v>0</v>
      </c>
      <c r="BK98" s="2">
        <f t="shared" si="138"/>
        <v>0</v>
      </c>
      <c r="BL98" s="2">
        <f t="shared" si="138"/>
        <v>0</v>
      </c>
      <c r="BM98" s="2">
        <f t="shared" si="138"/>
        <v>0</v>
      </c>
      <c r="BN98" s="2">
        <f t="shared" si="138"/>
        <v>0</v>
      </c>
      <c r="BO98" s="2">
        <f t="shared" si="138"/>
        <v>0</v>
      </c>
      <c r="BP98" s="2">
        <f t="shared" si="138"/>
        <v>0</v>
      </c>
      <c r="BQ98" s="2">
        <f t="shared" si="138"/>
        <v>0</v>
      </c>
      <c r="BR98" s="2">
        <f t="shared" si="138"/>
        <v>0</v>
      </c>
      <c r="BS98" s="2">
        <f t="shared" si="138"/>
        <v>0</v>
      </c>
      <c r="BT98" s="92"/>
      <c r="BU98" s="2">
        <f>BU69-BU90</f>
        <v>0</v>
      </c>
      <c r="BV98" s="2">
        <f aca="true" t="shared" si="139" ref="BV98:CI98">BV69-BV90</f>
        <v>0</v>
      </c>
      <c r="BW98" s="2">
        <f t="shared" si="139"/>
        <v>0</v>
      </c>
      <c r="BX98" s="2">
        <f t="shared" si="139"/>
        <v>0</v>
      </c>
      <c r="BY98" s="2">
        <f t="shared" si="139"/>
        <v>0</v>
      </c>
      <c r="BZ98" s="2">
        <f t="shared" si="139"/>
        <v>0</v>
      </c>
      <c r="CA98" s="2">
        <f t="shared" si="139"/>
        <v>0</v>
      </c>
      <c r="CB98" s="2">
        <f t="shared" si="139"/>
        <v>0</v>
      </c>
      <c r="CC98" s="2">
        <f t="shared" si="139"/>
        <v>0</v>
      </c>
      <c r="CD98" s="2">
        <f t="shared" si="139"/>
        <v>0</v>
      </c>
      <c r="CE98" s="2">
        <f t="shared" si="139"/>
        <v>0</v>
      </c>
      <c r="CF98" s="2">
        <f t="shared" si="139"/>
        <v>0</v>
      </c>
      <c r="CG98" s="2">
        <f t="shared" si="139"/>
        <v>0</v>
      </c>
      <c r="CH98" s="2">
        <f t="shared" si="139"/>
        <v>0</v>
      </c>
      <c r="CI98" s="2">
        <f t="shared" si="139"/>
        <v>0</v>
      </c>
    </row>
  </sheetData>
  <printOptions verticalCentered="1"/>
  <pageMargins left="0.27" right="0.18" top="0.33" bottom="0.16" header="0.33" footer="0.16"/>
  <pageSetup horizontalDpi="600" verticalDpi="600" orientation="landscape" paperSize="8" scale="71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Tomra Systems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Helge Nerland</dc:creator>
  <cp:keywords/>
  <dc:description/>
  <cp:lastModifiedBy>Espen Gundersen</cp:lastModifiedBy>
  <cp:lastPrinted>2002-04-08T08:18:34Z</cp:lastPrinted>
  <dcterms:created xsi:type="dcterms:W3CDTF">2000-01-26T08:10:40Z</dcterms:created>
  <dcterms:modified xsi:type="dcterms:W3CDTF">2002-04-12T11:28:22Z</dcterms:modified>
  <cp:category/>
  <cp:version/>
  <cp:contentType/>
  <cp:contentStatus/>
</cp:coreProperties>
</file>