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825" windowHeight="7725" activeTab="1"/>
  </bookViews>
  <sheets>
    <sheet name="OPERATING PROFIT" sheetId="1" r:id="rId1"/>
    <sheet name="OPERATING REVENUES" sheetId="2" r:id="rId2"/>
  </sheets>
  <definedNames>
    <definedName name="_xlnm.Print_Area" localSheetId="0">'OPERATING PROFIT'!$A$11:$AA$88</definedName>
    <definedName name="_xlnm.Print_Area" localSheetId="1">'OPERATING REVENUES'!$A$2:$AA$59</definedName>
  </definedNames>
  <calcPr fullCalcOnLoad="1"/>
</workbook>
</file>

<file path=xl/sharedStrings.xml><?xml version="1.0" encoding="utf-8"?>
<sst xmlns="http://schemas.openxmlformats.org/spreadsheetml/2006/main" count="318" uniqueCount="56">
  <si>
    <t>1 quarter</t>
  </si>
  <si>
    <t>2 quarter</t>
  </si>
  <si>
    <t>3 quarter</t>
  </si>
  <si>
    <t>4 quarter</t>
  </si>
  <si>
    <t>OPERATING REVENUES</t>
  </si>
  <si>
    <t>Year to date</t>
  </si>
  <si>
    <t>Full year</t>
  </si>
  <si>
    <t>1998</t>
  </si>
  <si>
    <t>1999</t>
  </si>
  <si>
    <t>2000</t>
  </si>
  <si>
    <t>SCHIBSTED GROUP</t>
  </si>
  <si>
    <t>NEWSPAPERS</t>
  </si>
  <si>
    <t xml:space="preserve">  Aftonbladet Hierta Group</t>
  </si>
  <si>
    <t xml:space="preserve">  Svenska Dagbladet Group</t>
  </si>
  <si>
    <t xml:space="preserve">  Schibsted Trykk AS</t>
  </si>
  <si>
    <t xml:space="preserve">  Other</t>
  </si>
  <si>
    <t xml:space="preserve">  Eliminations</t>
  </si>
  <si>
    <t xml:space="preserve">  Sol</t>
  </si>
  <si>
    <t xml:space="preserve">  Other / eliminations</t>
  </si>
  <si>
    <t>PUBLISHING</t>
  </si>
  <si>
    <t xml:space="preserve">  Bladkompaniet Group</t>
  </si>
  <si>
    <t/>
  </si>
  <si>
    <t>TV / FILM</t>
  </si>
  <si>
    <t xml:space="preserve">  Sandrew Metronome Group</t>
  </si>
  <si>
    <t xml:space="preserve">  Metronome Film &amp; Television Group</t>
  </si>
  <si>
    <t>ESTONIA</t>
  </si>
  <si>
    <t xml:space="preserve">  Eesti Meedia Group</t>
  </si>
  <si>
    <t xml:space="preserve">  Kanal 2</t>
  </si>
  <si>
    <t>OTHER OPERATIONS</t>
  </si>
  <si>
    <t>ELIMINATIONS</t>
  </si>
  <si>
    <t>OPERATING PROFIT</t>
  </si>
  <si>
    <t xml:space="preserve">  Amortisation of goodwill</t>
  </si>
  <si>
    <t xml:space="preserve">  Other incl amortisation goodwill</t>
  </si>
  <si>
    <t>TOTAL</t>
  </si>
  <si>
    <t>THE FOLLOWING AMOUNTS OF</t>
  </si>
  <si>
    <t>OTHER REVENUES AND EXPENSES</t>
  </si>
  <si>
    <t>OPERATING PROFIT BEFORE</t>
  </si>
  <si>
    <t>GOODWILL AND OTHER REVENUES</t>
  </si>
  <si>
    <t>AND EXPENSES</t>
  </si>
  <si>
    <t xml:space="preserve">  Of which reclassified to other revenues</t>
  </si>
  <si>
    <t>ARE INCLUDED IN OPERATING PROFIT</t>
  </si>
  <si>
    <t>2001</t>
  </si>
  <si>
    <t xml:space="preserve">  Aftenposten Group</t>
  </si>
  <si>
    <t xml:space="preserve">  Verdens Gang Group</t>
  </si>
  <si>
    <t xml:space="preserve">  Schibsted Telecom</t>
  </si>
  <si>
    <t xml:space="preserve">  Chr. Schibsteds Forlag AS / Schibsted Internationale Bøker AS</t>
  </si>
  <si>
    <t>1998:</t>
  </si>
  <si>
    <t>NOK 74 million of operating revenues reclassified to other revenues are not split by quarter. The amount is split by business area in Full year 1998-figures.</t>
  </si>
  <si>
    <t>2002</t>
  </si>
  <si>
    <t>THE FOLLOWING AMORTISATION AND</t>
  </si>
  <si>
    <t>IN OPERATING PROFIT</t>
  </si>
  <si>
    <t>WRITE-DOWNS OF GOODWILL ARE INCLUDED</t>
  </si>
  <si>
    <t xml:space="preserve">  Schibsted ASA / Schibsted Finans / Schibsted Eiendom Group</t>
  </si>
  <si>
    <t>3 QUARTER 2002</t>
  </si>
  <si>
    <t>Aftenposten Group as presented below is actual Aftenposten Group,</t>
  </si>
  <si>
    <t>not Aftenposten Group pro forma as presented in 3q 2002 presentation.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</si>
</sst>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\(#,##0\)"/>
    <numFmt numFmtId="179" formatCode="#,##0.0;\(#,##0.0\)"/>
    <numFmt numFmtId="180" formatCode="0.0"/>
    <numFmt numFmtId="181" formatCode="#,##0.00;\(#,##0.00\)"/>
    <numFmt numFmtId="182" formatCode="#,##0.0"/>
    <numFmt numFmtId="183" formatCode="#,##0.000;\(#,##0.000\)"/>
    <numFmt numFmtId="184" formatCode="#,##0.0000;\(#,##0.0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2" xfId="0" applyFont="1" applyFill="1" applyBorder="1" applyAlignment="1">
      <alignment/>
    </xf>
    <xf numFmtId="178" fontId="1" fillId="0" borderId="2" xfId="0" applyNumberFormat="1" applyFont="1" applyFill="1" applyBorder="1" applyAlignment="1">
      <alignment/>
    </xf>
    <xf numFmtId="178" fontId="0" fillId="0" borderId="2" xfId="0" applyNumberFormat="1" applyFont="1" applyFill="1" applyBorder="1" applyAlignment="1">
      <alignment/>
    </xf>
    <xf numFmtId="178" fontId="0" fillId="0" borderId="3" xfId="0" applyNumberFormat="1" applyFont="1" applyFill="1" applyBorder="1" applyAlignment="1">
      <alignment/>
    </xf>
    <xf numFmtId="0" fontId="1" fillId="0" borderId="3" xfId="0" applyFont="1" applyFill="1" applyBorder="1" applyAlignment="1" quotePrefix="1">
      <alignment/>
    </xf>
    <xf numFmtId="0" fontId="0" fillId="0" borderId="3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 quotePrefix="1">
      <alignment horizontal="center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6" xfId="0" applyFont="1" applyFill="1" applyBorder="1" applyAlignment="1" quotePrefix="1">
      <alignment horizontal="center"/>
    </xf>
    <xf numFmtId="0" fontId="0" fillId="0" borderId="7" xfId="0" applyFont="1" applyFill="1" applyBorder="1" applyAlignment="1" quotePrefix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/>
    </xf>
    <xf numFmtId="178" fontId="1" fillId="0" borderId="6" xfId="0" applyNumberFormat="1" applyFont="1" applyFill="1" applyBorder="1" applyAlignment="1">
      <alignment/>
    </xf>
    <xf numFmtId="178" fontId="0" fillId="0" borderId="6" xfId="0" applyNumberFormat="1" applyFont="1" applyFill="1" applyBorder="1" applyAlignment="1">
      <alignment/>
    </xf>
    <xf numFmtId="178" fontId="0" fillId="0" borderId="8" xfId="0" applyNumberFormat="1" applyFont="1" applyFill="1" applyBorder="1" applyAlignment="1">
      <alignment/>
    </xf>
    <xf numFmtId="178" fontId="0" fillId="0" borderId="2" xfId="0" applyNumberFormat="1" applyFont="1" applyFill="1" applyBorder="1" applyAlignment="1" quotePrefix="1">
      <alignment/>
    </xf>
    <xf numFmtId="178" fontId="0" fillId="0" borderId="6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 quotePrefix="1">
      <alignment/>
    </xf>
    <xf numFmtId="178" fontId="1" fillId="0" borderId="3" xfId="0" applyNumberFormat="1" applyFont="1" applyFill="1" applyBorder="1" applyAlignment="1">
      <alignment/>
    </xf>
    <xf numFmtId="178" fontId="1" fillId="0" borderId="1" xfId="0" applyNumberFormat="1" applyFont="1" applyFill="1" applyBorder="1" applyAlignment="1">
      <alignment/>
    </xf>
    <xf numFmtId="178" fontId="1" fillId="0" borderId="7" xfId="0" applyNumberFormat="1" applyFont="1" applyFill="1" applyBorder="1" applyAlignment="1">
      <alignment/>
    </xf>
    <xf numFmtId="179" fontId="0" fillId="0" borderId="2" xfId="0" applyNumberFormat="1" applyFont="1" applyFill="1" applyBorder="1" applyAlignment="1">
      <alignment/>
    </xf>
    <xf numFmtId="178" fontId="1" fillId="0" borderId="8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178" fontId="0" fillId="0" borderId="2" xfId="0" applyNumberFormat="1" applyFont="1" applyFill="1" applyBorder="1" applyAlignment="1" quotePrefix="1">
      <alignment horizontal="center"/>
    </xf>
    <xf numFmtId="178" fontId="1" fillId="0" borderId="5" xfId="0" applyNumberFormat="1" applyFont="1" applyFill="1" applyBorder="1" applyAlignment="1">
      <alignment/>
    </xf>
    <xf numFmtId="178" fontId="1" fillId="0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A88"/>
  <sheetViews>
    <sheetView zoomScale="75" zoomScaleNormal="75" workbookViewId="0" topLeftCell="J1">
      <selection activeCell="Y6" sqref="Y6"/>
    </sheetView>
  </sheetViews>
  <sheetFormatPr defaultColWidth="9.140625" defaultRowHeight="12.75" outlineLevelCol="1"/>
  <cols>
    <col min="1" max="18" width="13.140625" style="6" customWidth="1"/>
    <col min="19" max="20" width="13.140625" style="6" customWidth="1" outlineLevel="1"/>
    <col min="21" max="21" width="51.7109375" style="6" customWidth="1"/>
    <col min="22" max="27" width="13.140625" style="6" customWidth="1"/>
    <col min="28" max="16384" width="11.421875" style="6" customWidth="1"/>
  </cols>
  <sheetData>
    <row r="6" ht="12.75">
      <c r="U6" s="6" t="s">
        <v>54</v>
      </c>
    </row>
    <row r="7" ht="12.75">
      <c r="U7" s="6" t="s">
        <v>55</v>
      </c>
    </row>
    <row r="8" s="2" customFormat="1" ht="12.75"/>
    <row r="9" s="2" customFormat="1" ht="12.75"/>
    <row r="10" s="2" customFormat="1" ht="12.75"/>
    <row r="11" spans="1:27" s="3" customFormat="1" ht="12.75">
      <c r="A11" s="24" t="s">
        <v>0</v>
      </c>
      <c r="B11" s="24" t="s">
        <v>1</v>
      </c>
      <c r="C11" s="24" t="s">
        <v>2</v>
      </c>
      <c r="D11" s="24" t="s">
        <v>3</v>
      </c>
      <c r="E11" s="24" t="s">
        <v>0</v>
      </c>
      <c r="F11" s="24" t="s">
        <v>1</v>
      </c>
      <c r="G11" s="24" t="s">
        <v>2</v>
      </c>
      <c r="H11" s="24" t="s">
        <v>3</v>
      </c>
      <c r="I11" s="24" t="s">
        <v>0</v>
      </c>
      <c r="J11" s="24" t="s">
        <v>1</v>
      </c>
      <c r="K11" s="24" t="s">
        <v>2</v>
      </c>
      <c r="L11" s="24" t="s">
        <v>3</v>
      </c>
      <c r="M11" s="24" t="s">
        <v>0</v>
      </c>
      <c r="N11" s="24" t="s">
        <v>1</v>
      </c>
      <c r="O11" s="24" t="s">
        <v>2</v>
      </c>
      <c r="P11" s="24" t="s">
        <v>3</v>
      </c>
      <c r="Q11" s="24" t="s">
        <v>0</v>
      </c>
      <c r="R11" s="24" t="s">
        <v>1</v>
      </c>
      <c r="S11" s="24" t="s">
        <v>2</v>
      </c>
      <c r="T11" s="24" t="s">
        <v>3</v>
      </c>
      <c r="U11" s="35" t="s">
        <v>30</v>
      </c>
      <c r="V11" s="7" t="s">
        <v>5</v>
      </c>
      <c r="W11" s="7" t="s">
        <v>5</v>
      </c>
      <c r="X11" s="7" t="s">
        <v>6</v>
      </c>
      <c r="Y11" s="7" t="s">
        <v>6</v>
      </c>
      <c r="Z11" s="7" t="s">
        <v>6</v>
      </c>
      <c r="AA11" s="7" t="s">
        <v>6</v>
      </c>
    </row>
    <row r="12" spans="1:27" s="3" customFormat="1" ht="12.75">
      <c r="A12" s="8" t="s">
        <v>7</v>
      </c>
      <c r="B12" s="8" t="s">
        <v>7</v>
      </c>
      <c r="C12" s="8" t="s">
        <v>7</v>
      </c>
      <c r="D12" s="8" t="s">
        <v>7</v>
      </c>
      <c r="E12" s="8" t="s">
        <v>8</v>
      </c>
      <c r="F12" s="8" t="s">
        <v>8</v>
      </c>
      <c r="G12" s="8" t="s">
        <v>8</v>
      </c>
      <c r="H12" s="8" t="s">
        <v>8</v>
      </c>
      <c r="I12" s="8" t="s">
        <v>9</v>
      </c>
      <c r="J12" s="8" t="s">
        <v>9</v>
      </c>
      <c r="K12" s="8" t="s">
        <v>9</v>
      </c>
      <c r="L12" s="8" t="s">
        <v>9</v>
      </c>
      <c r="M12" s="8" t="s">
        <v>41</v>
      </c>
      <c r="N12" s="8">
        <v>2001</v>
      </c>
      <c r="O12" s="8">
        <v>2001</v>
      </c>
      <c r="P12" s="8">
        <v>2001</v>
      </c>
      <c r="Q12" s="8" t="s">
        <v>48</v>
      </c>
      <c r="R12" s="8">
        <v>2002</v>
      </c>
      <c r="S12" s="8">
        <v>2002</v>
      </c>
      <c r="T12" s="8">
        <v>2002</v>
      </c>
      <c r="U12" s="36" t="s">
        <v>10</v>
      </c>
      <c r="V12" s="8" t="s">
        <v>48</v>
      </c>
      <c r="W12" s="8" t="s">
        <v>41</v>
      </c>
      <c r="X12" s="8" t="s">
        <v>41</v>
      </c>
      <c r="Y12" s="8" t="s">
        <v>9</v>
      </c>
      <c r="Z12" s="8" t="s">
        <v>8</v>
      </c>
      <c r="AA12" s="8" t="s">
        <v>7</v>
      </c>
    </row>
    <row r="13" spans="1:27" s="3" customFormat="1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7" t="s">
        <v>53</v>
      </c>
      <c r="V13" s="13"/>
      <c r="W13" s="13"/>
      <c r="X13" s="13"/>
      <c r="Y13" s="14"/>
      <c r="Z13" s="14"/>
      <c r="AA13" s="14"/>
    </row>
    <row r="14" spans="1:27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V14" s="9"/>
      <c r="W14" s="9"/>
      <c r="X14" s="9"/>
      <c r="Y14" s="9"/>
      <c r="Z14" s="9"/>
      <c r="AA14" s="9"/>
    </row>
    <row r="15" spans="1:27" s="4" customFormat="1" ht="12.75">
      <c r="A15" s="10">
        <f>+A17+A26+A31+A36+A41</f>
        <v>170.29999999999998</v>
      </c>
      <c r="B15" s="10">
        <f aca="true" t="shared" si="0" ref="B15:AA15">+B17+B26+B31+B36+B41</f>
        <v>152.3</v>
      </c>
      <c r="C15" s="10">
        <f t="shared" si="0"/>
        <v>11.499999999999993</v>
      </c>
      <c r="D15" s="10">
        <f t="shared" si="0"/>
        <v>-16.099999999999994</v>
      </c>
      <c r="E15" s="10">
        <f t="shared" si="0"/>
        <v>20</v>
      </c>
      <c r="F15" s="10">
        <f t="shared" si="0"/>
        <v>61</v>
      </c>
      <c r="G15" s="10">
        <f t="shared" si="0"/>
        <v>35</v>
      </c>
      <c r="H15" s="10">
        <f t="shared" si="0"/>
        <v>56</v>
      </c>
      <c r="I15" s="10">
        <f t="shared" si="0"/>
        <v>138.3</v>
      </c>
      <c r="J15" s="10">
        <f t="shared" si="0"/>
        <v>217</v>
      </c>
      <c r="K15" s="10">
        <f t="shared" si="0"/>
        <v>31.1</v>
      </c>
      <c r="L15" s="10">
        <f t="shared" si="0"/>
        <v>151</v>
      </c>
      <c r="M15" s="10">
        <f t="shared" si="0"/>
        <v>76</v>
      </c>
      <c r="N15" s="10">
        <f t="shared" si="0"/>
        <v>163</v>
      </c>
      <c r="O15" s="10">
        <f t="shared" si="0"/>
        <v>-164</v>
      </c>
      <c r="P15" s="10">
        <f t="shared" si="0"/>
        <v>-19</v>
      </c>
      <c r="Q15" s="10">
        <f t="shared" si="0"/>
        <v>113</v>
      </c>
      <c r="R15" s="10">
        <f>+R17+R26+R31+R36+R41</f>
        <v>188</v>
      </c>
      <c r="S15" s="10">
        <f t="shared" si="0"/>
        <v>65</v>
      </c>
      <c r="T15" s="10">
        <f t="shared" si="0"/>
        <v>0</v>
      </c>
      <c r="U15" s="4" t="s">
        <v>10</v>
      </c>
      <c r="V15" s="10">
        <f t="shared" si="0"/>
        <v>366</v>
      </c>
      <c r="W15" s="10">
        <f t="shared" si="0"/>
        <v>75</v>
      </c>
      <c r="X15" s="10">
        <f t="shared" si="0"/>
        <v>56</v>
      </c>
      <c r="Y15" s="10">
        <f t="shared" si="0"/>
        <v>537.4</v>
      </c>
      <c r="Z15" s="10">
        <f t="shared" si="0"/>
        <v>172</v>
      </c>
      <c r="AA15" s="10">
        <f t="shared" si="0"/>
        <v>318.00000000000006</v>
      </c>
    </row>
    <row r="16" spans="1:27" s="1" customFormat="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V16" s="11"/>
      <c r="W16" s="11"/>
      <c r="X16" s="11"/>
      <c r="Y16" s="11"/>
      <c r="Z16" s="11"/>
      <c r="AA16" s="11"/>
    </row>
    <row r="17" spans="1:27" s="4" customFormat="1" ht="12.75">
      <c r="A17" s="10">
        <f aca="true" t="shared" si="1" ref="A17:L17">SUM(A18:A24)</f>
        <v>148.6</v>
      </c>
      <c r="B17" s="10">
        <f t="shared" si="1"/>
        <v>167.6</v>
      </c>
      <c r="C17" s="10">
        <f t="shared" si="1"/>
        <v>52.89999999999999</v>
      </c>
      <c r="D17" s="10">
        <f t="shared" si="1"/>
        <v>63.1</v>
      </c>
      <c r="E17" s="10">
        <f t="shared" si="1"/>
        <v>38</v>
      </c>
      <c r="F17" s="10">
        <f t="shared" si="1"/>
        <v>75</v>
      </c>
      <c r="G17" s="10">
        <f t="shared" si="1"/>
        <v>3</v>
      </c>
      <c r="H17" s="10">
        <f t="shared" si="1"/>
        <v>58</v>
      </c>
      <c r="I17" s="10">
        <f t="shared" si="1"/>
        <v>116</v>
      </c>
      <c r="J17" s="10">
        <f t="shared" si="1"/>
        <v>220</v>
      </c>
      <c r="K17" s="10">
        <f t="shared" si="1"/>
        <v>33</v>
      </c>
      <c r="L17" s="10">
        <f t="shared" si="1"/>
        <v>94</v>
      </c>
      <c r="M17" s="10">
        <f aca="true" t="shared" si="2" ref="M17:T17">SUM(M18:M24)</f>
        <v>79</v>
      </c>
      <c r="N17" s="10">
        <f t="shared" si="2"/>
        <v>167</v>
      </c>
      <c r="O17" s="10">
        <f t="shared" si="2"/>
        <v>-130</v>
      </c>
      <c r="P17" s="10">
        <f t="shared" si="2"/>
        <v>-25</v>
      </c>
      <c r="Q17" s="10">
        <f t="shared" si="2"/>
        <v>91</v>
      </c>
      <c r="R17" s="10">
        <f t="shared" si="2"/>
        <v>180</v>
      </c>
      <c r="S17" s="10">
        <f t="shared" si="2"/>
        <v>62</v>
      </c>
      <c r="T17" s="10">
        <f t="shared" si="2"/>
        <v>0</v>
      </c>
      <c r="U17" s="4" t="s">
        <v>11</v>
      </c>
      <c r="V17" s="10">
        <f>+Q17+R17+S17+T17</f>
        <v>333</v>
      </c>
      <c r="W17" s="10">
        <f>+M17+N17+O17</f>
        <v>116</v>
      </c>
      <c r="X17" s="10">
        <f aca="true" t="shared" si="3" ref="X17:X24">SUM(M17:P17)</f>
        <v>91</v>
      </c>
      <c r="Y17" s="10">
        <f>+I17+J17+K17+L17</f>
        <v>463</v>
      </c>
      <c r="Z17" s="10">
        <f aca="true" t="shared" si="4" ref="Z17:Z24">+H17+G17+F17+E17</f>
        <v>174</v>
      </c>
      <c r="AA17" s="10">
        <f aca="true" t="shared" si="5" ref="AA17:AA24">+D17+C17+B17+A17</f>
        <v>432.20000000000005</v>
      </c>
    </row>
    <row r="18" spans="1:27" s="1" customFormat="1" ht="12.75">
      <c r="A18" s="11">
        <v>106.5</v>
      </c>
      <c r="B18" s="11">
        <v>111.1</v>
      </c>
      <c r="C18" s="11">
        <v>37.1</v>
      </c>
      <c r="D18" s="11">
        <v>49.4</v>
      </c>
      <c r="E18" s="11">
        <v>55</v>
      </c>
      <c r="F18" s="11">
        <f>128-E18</f>
        <v>73</v>
      </c>
      <c r="G18" s="11">
        <f>111-F18-E18</f>
        <v>-17</v>
      </c>
      <c r="H18" s="11">
        <f>132-G18-F18-E18</f>
        <v>21</v>
      </c>
      <c r="I18" s="11">
        <v>46</v>
      </c>
      <c r="J18" s="11">
        <f>100-I18</f>
        <v>54</v>
      </c>
      <c r="K18" s="11">
        <f>105-J18-I18</f>
        <v>5</v>
      </c>
      <c r="L18" s="11">
        <f>144-K18-J18-I18</f>
        <v>39</v>
      </c>
      <c r="M18" s="11">
        <v>45</v>
      </c>
      <c r="N18" s="11">
        <f>121-M18</f>
        <v>76</v>
      </c>
      <c r="O18" s="11">
        <f>9-N18-M18</f>
        <v>-112</v>
      </c>
      <c r="P18" s="11">
        <f>-33-SUM(M18:O18)</f>
        <v>-42</v>
      </c>
      <c r="Q18" s="11">
        <v>11</v>
      </c>
      <c r="R18" s="11">
        <v>73</v>
      </c>
      <c r="S18" s="11">
        <f>50-R18-Q18</f>
        <v>-34</v>
      </c>
      <c r="T18" s="11"/>
      <c r="U18" s="1" t="s">
        <v>42</v>
      </c>
      <c r="V18" s="11">
        <f>+Q18+R18+S18+T18</f>
        <v>50</v>
      </c>
      <c r="W18" s="11">
        <f>+M18+N18+O18</f>
        <v>9</v>
      </c>
      <c r="X18" s="11">
        <f t="shared" si="3"/>
        <v>-33</v>
      </c>
      <c r="Y18" s="11">
        <f>+I18+J18+K18+L18</f>
        <v>144</v>
      </c>
      <c r="Z18" s="11">
        <f t="shared" si="4"/>
        <v>132</v>
      </c>
      <c r="AA18" s="11">
        <f t="shared" si="5"/>
        <v>304.1</v>
      </c>
    </row>
    <row r="19" spans="1:27" s="1" customFormat="1" ht="12.75">
      <c r="A19" s="11">
        <v>61.8</v>
      </c>
      <c r="B19" s="11">
        <v>62.9</v>
      </c>
      <c r="C19" s="11">
        <v>53</v>
      </c>
      <c r="D19" s="11">
        <v>42.9</v>
      </c>
      <c r="E19" s="11">
        <v>58</v>
      </c>
      <c r="F19" s="11">
        <f>114-E19</f>
        <v>56</v>
      </c>
      <c r="G19" s="11">
        <f>204-F19-E19</f>
        <v>90</v>
      </c>
      <c r="H19" s="11">
        <f>258-G19-F19-E19</f>
        <v>54</v>
      </c>
      <c r="I19" s="11">
        <v>67</v>
      </c>
      <c r="J19" s="11">
        <f>156-I19</f>
        <v>89</v>
      </c>
      <c r="K19" s="11">
        <f>231-J19-I19</f>
        <v>75</v>
      </c>
      <c r="L19" s="11">
        <f>309-K19-J19-I19</f>
        <v>78</v>
      </c>
      <c r="M19" s="11">
        <v>74</v>
      </c>
      <c r="N19" s="11">
        <f>157-M19</f>
        <v>83</v>
      </c>
      <c r="O19" s="11">
        <f>234-N19-M19</f>
        <v>77</v>
      </c>
      <c r="P19" s="11">
        <f>265-SUM(M19:O19)</f>
        <v>31</v>
      </c>
      <c r="Q19" s="11">
        <v>64</v>
      </c>
      <c r="R19" s="11">
        <v>75</v>
      </c>
      <c r="S19" s="11">
        <f>211-R19-Q19</f>
        <v>72</v>
      </c>
      <c r="T19" s="11"/>
      <c r="U19" s="1" t="s">
        <v>43</v>
      </c>
      <c r="V19" s="11">
        <f aca="true" t="shared" si="6" ref="V19:V41">+Q19+R19+S19+T19</f>
        <v>211</v>
      </c>
      <c r="W19" s="11">
        <f aca="true" t="shared" si="7" ref="W19:W45">+M19+N19+O19</f>
        <v>234</v>
      </c>
      <c r="X19" s="11">
        <f t="shared" si="3"/>
        <v>265</v>
      </c>
      <c r="Y19" s="11">
        <f aca="true" t="shared" si="8" ref="Y19:Y24">+I19+J19+K19+L19</f>
        <v>309</v>
      </c>
      <c r="Z19" s="11">
        <f t="shared" si="4"/>
        <v>258</v>
      </c>
      <c r="AA19" s="11">
        <f t="shared" si="5"/>
        <v>220.60000000000002</v>
      </c>
    </row>
    <row r="20" spans="1:27" s="1" customFormat="1" ht="12.75">
      <c r="A20" s="11">
        <v>5.2</v>
      </c>
      <c r="B20" s="11">
        <v>29</v>
      </c>
      <c r="C20" s="11">
        <v>35</v>
      </c>
      <c r="D20" s="11">
        <v>27.8</v>
      </c>
      <c r="E20" s="11">
        <v>5</v>
      </c>
      <c r="F20" s="11">
        <f>16-E20</f>
        <v>11</v>
      </c>
      <c r="G20" s="11">
        <f>37-F20-E20</f>
        <v>21</v>
      </c>
      <c r="H20" s="11">
        <f>48-G20-F20-E20</f>
        <v>11</v>
      </c>
      <c r="I20" s="11">
        <v>18</v>
      </c>
      <c r="J20" s="11">
        <f>92-I20</f>
        <v>74</v>
      </c>
      <c r="K20" s="11">
        <f>122-J20-I20</f>
        <v>30</v>
      </c>
      <c r="L20" s="11">
        <f>153-K20-J20-I20</f>
        <v>31</v>
      </c>
      <c r="M20" s="11">
        <v>8</v>
      </c>
      <c r="N20" s="11">
        <f>29-M20</f>
        <v>21</v>
      </c>
      <c r="O20" s="11">
        <f>53-N20-M20</f>
        <v>24</v>
      </c>
      <c r="P20" s="11">
        <f>85-SUM(M20:O20)</f>
        <v>32</v>
      </c>
      <c r="Q20" s="11">
        <v>32</v>
      </c>
      <c r="R20" s="11">
        <f>70-Q20</f>
        <v>38</v>
      </c>
      <c r="S20" s="11">
        <f>105-R20-Q20</f>
        <v>35</v>
      </c>
      <c r="T20" s="11"/>
      <c r="U20" s="1" t="s">
        <v>12</v>
      </c>
      <c r="V20" s="11">
        <f t="shared" si="6"/>
        <v>105</v>
      </c>
      <c r="W20" s="11">
        <f t="shared" si="7"/>
        <v>53</v>
      </c>
      <c r="X20" s="11">
        <f t="shared" si="3"/>
        <v>85</v>
      </c>
      <c r="Y20" s="11">
        <f t="shared" si="8"/>
        <v>153</v>
      </c>
      <c r="Z20" s="11">
        <f t="shared" si="4"/>
        <v>48</v>
      </c>
      <c r="AA20" s="11">
        <f t="shared" si="5"/>
        <v>97</v>
      </c>
    </row>
    <row r="21" spans="1:27" s="1" customFormat="1" ht="12.75">
      <c r="A21" s="11"/>
      <c r="B21" s="11"/>
      <c r="C21" s="11">
        <v>-27</v>
      </c>
      <c r="D21" s="11">
        <v>7.2</v>
      </c>
      <c r="E21" s="11">
        <v>-20</v>
      </c>
      <c r="F21" s="11">
        <f>-23-E21</f>
        <v>-3</v>
      </c>
      <c r="G21" s="11">
        <f>-68-F21-E21</f>
        <v>-45</v>
      </c>
      <c r="H21" s="11">
        <f>-85-G21-F21-E21</f>
        <v>-17</v>
      </c>
      <c r="I21" s="11">
        <v>-13</v>
      </c>
      <c r="J21" s="11">
        <f>4-I21</f>
        <v>17</v>
      </c>
      <c r="K21" s="11">
        <f>-51-J21-I21</f>
        <v>-55</v>
      </c>
      <c r="L21" s="11">
        <f>-94-K21-J21-I21</f>
        <v>-43</v>
      </c>
      <c r="M21" s="11">
        <v>-26</v>
      </c>
      <c r="N21" s="11">
        <f>-44-M21</f>
        <v>-18</v>
      </c>
      <c r="O21" s="11">
        <f>-151-N21-M21</f>
        <v>-107</v>
      </c>
      <c r="P21" s="11">
        <f>-202-SUM(M21:O21)</f>
        <v>-51</v>
      </c>
      <c r="Q21" s="11">
        <v>-13</v>
      </c>
      <c r="R21" s="11">
        <f>-23-Q21</f>
        <v>-10</v>
      </c>
      <c r="S21" s="11">
        <f>-39-R21-Q21</f>
        <v>-16</v>
      </c>
      <c r="T21" s="11"/>
      <c r="U21" s="1" t="s">
        <v>13</v>
      </c>
      <c r="V21" s="11">
        <f t="shared" si="6"/>
        <v>-39</v>
      </c>
      <c r="W21" s="11">
        <f t="shared" si="7"/>
        <v>-151</v>
      </c>
      <c r="X21" s="11">
        <f t="shared" si="3"/>
        <v>-202</v>
      </c>
      <c r="Y21" s="11">
        <f t="shared" si="8"/>
        <v>-94</v>
      </c>
      <c r="Z21" s="11">
        <f t="shared" si="4"/>
        <v>-85</v>
      </c>
      <c r="AA21" s="11">
        <f t="shared" si="5"/>
        <v>-19.8</v>
      </c>
    </row>
    <row r="22" spans="1:27" s="1" customFormat="1" ht="12.75">
      <c r="A22" s="11">
        <v>-22.8</v>
      </c>
      <c r="B22" s="11">
        <v>-36</v>
      </c>
      <c r="C22" s="11">
        <v>-44.3</v>
      </c>
      <c r="D22" s="11">
        <v>-54.3</v>
      </c>
      <c r="E22" s="11">
        <v>-61</v>
      </c>
      <c r="F22" s="11">
        <f>-109-E22</f>
        <v>-48</v>
      </c>
      <c r="G22" s="11">
        <f>-131-F22-E22</f>
        <v>-22</v>
      </c>
      <c r="H22" s="11">
        <f>-126-G22-F22-E22</f>
        <v>5</v>
      </c>
      <c r="I22" s="11">
        <v>1</v>
      </c>
      <c r="J22" s="11">
        <f>-4-I22</f>
        <v>-5</v>
      </c>
      <c r="K22" s="11">
        <f>-5-J22-I22</f>
        <v>-1</v>
      </c>
      <c r="L22" s="11">
        <f>-12-K22-J22-I22</f>
        <v>-7</v>
      </c>
      <c r="M22" s="11">
        <v>-13</v>
      </c>
      <c r="N22" s="11">
        <f>2-M22</f>
        <v>15</v>
      </c>
      <c r="O22" s="11">
        <f>14-N22-M22</f>
        <v>12</v>
      </c>
      <c r="P22" s="11">
        <f>36-SUM(M22:O22)</f>
        <v>22</v>
      </c>
      <c r="Q22" s="11">
        <v>6</v>
      </c>
      <c r="R22" s="11">
        <v>15</v>
      </c>
      <c r="S22" s="11">
        <f>34-R22-Q22</f>
        <v>13</v>
      </c>
      <c r="T22" s="11"/>
      <c r="U22" s="1" t="s">
        <v>14</v>
      </c>
      <c r="V22" s="11">
        <f t="shared" si="6"/>
        <v>34</v>
      </c>
      <c r="W22" s="11">
        <f t="shared" si="7"/>
        <v>14</v>
      </c>
      <c r="X22" s="11">
        <f t="shared" si="3"/>
        <v>36</v>
      </c>
      <c r="Y22" s="11">
        <f t="shared" si="8"/>
        <v>-12</v>
      </c>
      <c r="Z22" s="11">
        <f t="shared" si="4"/>
        <v>-126</v>
      </c>
      <c r="AA22" s="11">
        <f t="shared" si="5"/>
        <v>-157.4</v>
      </c>
    </row>
    <row r="23" spans="1:27" s="1" customFormat="1" ht="12.75">
      <c r="A23" s="11">
        <v>1.9</v>
      </c>
      <c r="B23" s="11">
        <v>5.9</v>
      </c>
      <c r="C23" s="11">
        <v>3.8</v>
      </c>
      <c r="D23" s="11">
        <v>-6</v>
      </c>
      <c r="E23" s="11">
        <v>6</v>
      </c>
      <c r="F23" s="11">
        <f>-4-E23</f>
        <v>-10</v>
      </c>
      <c r="G23" s="11">
        <f>-23-F23-E23</f>
        <v>-19</v>
      </c>
      <c r="H23" s="11">
        <f>-35-G23-F23-E23</f>
        <v>-12</v>
      </c>
      <c r="I23" s="11">
        <v>1</v>
      </c>
      <c r="J23" s="11">
        <f>-1-I23</f>
        <v>-2</v>
      </c>
      <c r="K23" s="11">
        <f>-17-J23-I23</f>
        <v>-16</v>
      </c>
      <c r="L23" s="11">
        <f>-17-K23-J23-I23</f>
        <v>0</v>
      </c>
      <c r="M23" s="11">
        <v>-4</v>
      </c>
      <c r="N23" s="11">
        <f>-9-M23</f>
        <v>-5</v>
      </c>
      <c r="O23" s="11">
        <f>-29-N23-M23</f>
        <v>-20</v>
      </c>
      <c r="P23" s="11">
        <f>-42-SUM(M23:O23)</f>
        <v>-13</v>
      </c>
      <c r="Q23" s="11">
        <v>-4</v>
      </c>
      <c r="R23" s="11">
        <f>-11-Q23</f>
        <v>-7</v>
      </c>
      <c r="S23" s="11">
        <f>-14-R23-Q23</f>
        <v>-3</v>
      </c>
      <c r="T23" s="11"/>
      <c r="U23" s="1" t="s">
        <v>15</v>
      </c>
      <c r="V23" s="11">
        <f t="shared" si="6"/>
        <v>-14</v>
      </c>
      <c r="W23" s="11">
        <f t="shared" si="7"/>
        <v>-29</v>
      </c>
      <c r="X23" s="11">
        <f t="shared" si="3"/>
        <v>-42</v>
      </c>
      <c r="Y23" s="11">
        <f t="shared" si="8"/>
        <v>-17</v>
      </c>
      <c r="Z23" s="11">
        <f t="shared" si="4"/>
        <v>-35</v>
      </c>
      <c r="AA23" s="11">
        <f t="shared" si="5"/>
        <v>5.6</v>
      </c>
    </row>
    <row r="24" spans="1:27" s="1" customFormat="1" ht="12.75">
      <c r="A24" s="11">
        <v>-4</v>
      </c>
      <c r="B24" s="11">
        <v>-5.3</v>
      </c>
      <c r="C24" s="11">
        <v>-4.7</v>
      </c>
      <c r="D24" s="11">
        <v>-3.9</v>
      </c>
      <c r="E24" s="11">
        <v>-5</v>
      </c>
      <c r="F24" s="11">
        <f>-9-E24</f>
        <v>-4</v>
      </c>
      <c r="G24" s="11">
        <f>-14-F24-E24</f>
        <v>-5</v>
      </c>
      <c r="H24" s="11">
        <f>-18-G24-F24-E24</f>
        <v>-4</v>
      </c>
      <c r="I24" s="11">
        <v>-4</v>
      </c>
      <c r="J24" s="11">
        <f>-11-I24</f>
        <v>-7</v>
      </c>
      <c r="K24" s="11">
        <f>-16-J24-I24</f>
        <v>-5</v>
      </c>
      <c r="L24" s="11">
        <f>-20-K24-J24-I24</f>
        <v>-4</v>
      </c>
      <c r="M24" s="11">
        <v>-5</v>
      </c>
      <c r="N24" s="11">
        <f>-10-M24</f>
        <v>-5</v>
      </c>
      <c r="O24" s="11">
        <f>-14-N24-M24</f>
        <v>-4</v>
      </c>
      <c r="P24" s="11">
        <f>-18-SUM(M24:O24)</f>
        <v>-4</v>
      </c>
      <c r="Q24" s="11">
        <v>-5</v>
      </c>
      <c r="R24" s="11">
        <f>-9-Q24</f>
        <v>-4</v>
      </c>
      <c r="S24" s="11">
        <f>-14-R24-Q24</f>
        <v>-5</v>
      </c>
      <c r="T24" s="11"/>
      <c r="U24" s="1" t="s">
        <v>31</v>
      </c>
      <c r="V24" s="11">
        <f t="shared" si="6"/>
        <v>-14</v>
      </c>
      <c r="W24" s="11">
        <f t="shared" si="7"/>
        <v>-14</v>
      </c>
      <c r="X24" s="11">
        <f t="shared" si="3"/>
        <v>-18</v>
      </c>
      <c r="Y24" s="11">
        <f t="shared" si="8"/>
        <v>-20</v>
      </c>
      <c r="Z24" s="11">
        <f t="shared" si="4"/>
        <v>-18</v>
      </c>
      <c r="AA24" s="11">
        <f t="shared" si="5"/>
        <v>-17.9</v>
      </c>
    </row>
    <row r="25" spans="1:27" s="1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V25" s="11"/>
      <c r="W25" s="11"/>
      <c r="X25" s="11"/>
      <c r="Y25" s="11"/>
      <c r="Z25" s="11"/>
      <c r="AA25" s="11"/>
    </row>
    <row r="26" spans="1:27" s="4" customFormat="1" ht="12.75">
      <c r="A26" s="10">
        <f aca="true" t="shared" si="9" ref="A26:L26">SUM(A27:A29)</f>
        <v>-0.30000000000000004</v>
      </c>
      <c r="B26" s="10">
        <f t="shared" si="9"/>
        <v>-6.199999999999999</v>
      </c>
      <c r="C26" s="10">
        <f t="shared" si="9"/>
        <v>0.6000000000000001</v>
      </c>
      <c r="D26" s="10">
        <f t="shared" si="9"/>
        <v>8.7</v>
      </c>
      <c r="E26" s="10">
        <f t="shared" si="9"/>
        <v>-6</v>
      </c>
      <c r="F26" s="10">
        <f t="shared" si="9"/>
        <v>-7</v>
      </c>
      <c r="G26" s="10">
        <f t="shared" si="9"/>
        <v>-2</v>
      </c>
      <c r="H26" s="10">
        <f t="shared" si="9"/>
        <v>7</v>
      </c>
      <c r="I26" s="10">
        <f t="shared" si="9"/>
        <v>-2</v>
      </c>
      <c r="J26" s="10">
        <f t="shared" si="9"/>
        <v>13</v>
      </c>
      <c r="K26" s="10">
        <f t="shared" si="9"/>
        <v>-5</v>
      </c>
      <c r="L26" s="10">
        <f t="shared" si="9"/>
        <v>13</v>
      </c>
      <c r="M26" s="10">
        <f aca="true" t="shared" si="10" ref="M26:T26">SUM(M27:M29)</f>
        <v>0</v>
      </c>
      <c r="N26" s="10">
        <f t="shared" si="10"/>
        <v>-4</v>
      </c>
      <c r="O26" s="10">
        <f t="shared" si="10"/>
        <v>-3</v>
      </c>
      <c r="P26" s="10">
        <f t="shared" si="10"/>
        <v>12</v>
      </c>
      <c r="Q26" s="10">
        <f t="shared" si="10"/>
        <v>2</v>
      </c>
      <c r="R26" s="10">
        <f t="shared" si="10"/>
        <v>3</v>
      </c>
      <c r="S26" s="10">
        <f t="shared" si="10"/>
        <v>2</v>
      </c>
      <c r="T26" s="10">
        <f t="shared" si="10"/>
        <v>0</v>
      </c>
      <c r="U26" s="4" t="s">
        <v>19</v>
      </c>
      <c r="V26" s="10">
        <f t="shared" si="6"/>
        <v>7</v>
      </c>
      <c r="W26" s="10">
        <f t="shared" si="7"/>
        <v>-7</v>
      </c>
      <c r="X26" s="10">
        <f>SUM(M26:P26)</f>
        <v>5</v>
      </c>
      <c r="Y26" s="10">
        <f>+I26+J26+K26+L26</f>
        <v>19</v>
      </c>
      <c r="Z26" s="10">
        <f>+H26+G26+F26+E26</f>
        <v>-8</v>
      </c>
      <c r="AA26" s="10">
        <f>+D26+C26+B26+A26</f>
        <v>2.8</v>
      </c>
    </row>
    <row r="27" spans="1:27" s="1" customFormat="1" ht="12.75">
      <c r="A27" s="11">
        <v>-1.8</v>
      </c>
      <c r="B27" s="11">
        <v>-4.3</v>
      </c>
      <c r="C27" s="11">
        <v>-2.4</v>
      </c>
      <c r="D27" s="11">
        <v>8.5</v>
      </c>
      <c r="E27" s="11">
        <v>0</v>
      </c>
      <c r="F27" s="11">
        <f>-8-E27</f>
        <v>-8</v>
      </c>
      <c r="G27" s="11">
        <f>-9-F27-E27</f>
        <v>-1</v>
      </c>
      <c r="H27" s="11">
        <f>0-G27-F27-E27</f>
        <v>9</v>
      </c>
      <c r="I27" s="11">
        <v>-1</v>
      </c>
      <c r="J27" s="11">
        <f>-5-I27</f>
        <v>-4</v>
      </c>
      <c r="K27" s="11">
        <f>-9-J27-I27</f>
        <v>-4</v>
      </c>
      <c r="L27" s="11">
        <f>1-K27-J27-I27</f>
        <v>10</v>
      </c>
      <c r="M27" s="11">
        <v>-2</v>
      </c>
      <c r="N27" s="11">
        <f>-5-M27</f>
        <v>-3</v>
      </c>
      <c r="O27" s="11">
        <f>-7-N27-M27</f>
        <v>-2</v>
      </c>
      <c r="P27" s="11">
        <f>3-SUM(M27:O27)</f>
        <v>10</v>
      </c>
      <c r="Q27" s="11">
        <v>0</v>
      </c>
      <c r="R27" s="11">
        <f>-1-Q27</f>
        <v>-1</v>
      </c>
      <c r="S27" s="11">
        <f>-3-R27-Q27</f>
        <v>-2</v>
      </c>
      <c r="T27" s="11"/>
      <c r="U27" s="1" t="s">
        <v>45</v>
      </c>
      <c r="V27" s="11">
        <f t="shared" si="6"/>
        <v>-3</v>
      </c>
      <c r="W27" s="11">
        <f t="shared" si="7"/>
        <v>-7</v>
      </c>
      <c r="X27" s="11">
        <f>SUM(M27:P27)</f>
        <v>3</v>
      </c>
      <c r="Y27" s="11">
        <f>+I27+J27+K27+L27</f>
        <v>1</v>
      </c>
      <c r="Z27" s="11">
        <f>+H27+G27+F27+E27</f>
        <v>0</v>
      </c>
      <c r="AA27" s="11">
        <f>+D27+C27+B27+A27</f>
        <v>0</v>
      </c>
    </row>
    <row r="28" spans="1:27" s="1" customFormat="1" ht="12.75">
      <c r="A28" s="11"/>
      <c r="B28" s="11"/>
      <c r="C28" s="11"/>
      <c r="D28" s="11"/>
      <c r="E28" s="11">
        <v>1</v>
      </c>
      <c r="F28" s="11">
        <f>5-E28</f>
        <v>4</v>
      </c>
      <c r="G28" s="11">
        <f>5-F28-E28</f>
        <v>0</v>
      </c>
      <c r="H28" s="11">
        <f>3-G28-F28-E28</f>
        <v>-2</v>
      </c>
      <c r="I28" s="11">
        <v>3</v>
      </c>
      <c r="J28" s="11">
        <f>4-I28</f>
        <v>1</v>
      </c>
      <c r="K28" s="11">
        <f>11-J28-I28</f>
        <v>7</v>
      </c>
      <c r="L28" s="11">
        <f>17-K28-J28-I28</f>
        <v>6</v>
      </c>
      <c r="M28" s="11">
        <v>4</v>
      </c>
      <c r="N28" s="11">
        <f>7-M28</f>
        <v>3</v>
      </c>
      <c r="O28" s="11">
        <f>12-N28-M28</f>
        <v>5</v>
      </c>
      <c r="P28" s="11">
        <f>12-SUM(M28:O28)</f>
        <v>0</v>
      </c>
      <c r="Q28" s="11">
        <v>5</v>
      </c>
      <c r="R28" s="11">
        <f>8-Q28</f>
        <v>3</v>
      </c>
      <c r="S28" s="11">
        <f>14-R28-Q28</f>
        <v>6</v>
      </c>
      <c r="T28" s="11"/>
      <c r="U28" s="1" t="s">
        <v>20</v>
      </c>
      <c r="V28" s="11">
        <f t="shared" si="6"/>
        <v>14</v>
      </c>
      <c r="W28" s="11">
        <f t="shared" si="7"/>
        <v>12</v>
      </c>
      <c r="X28" s="11">
        <f>SUM(M28:P28)</f>
        <v>12</v>
      </c>
      <c r="Y28" s="11">
        <f>+I28+J28+K28+L28</f>
        <v>17</v>
      </c>
      <c r="Z28" s="11">
        <f>+H28+G28+F28+E28</f>
        <v>3</v>
      </c>
      <c r="AA28" s="11">
        <f>+D28+C28+B28+A28</f>
        <v>0</v>
      </c>
    </row>
    <row r="29" spans="1:27" s="1" customFormat="1" ht="12.75">
      <c r="A29" s="11">
        <v>1.5</v>
      </c>
      <c r="B29" s="11">
        <v>-1.9</v>
      </c>
      <c r="C29" s="11">
        <v>3</v>
      </c>
      <c r="D29" s="11">
        <v>0.2</v>
      </c>
      <c r="E29" s="11">
        <v>-7</v>
      </c>
      <c r="F29" s="11">
        <f>-10-E29</f>
        <v>-3</v>
      </c>
      <c r="G29" s="11">
        <f>-11-F29-E29</f>
        <v>-1</v>
      </c>
      <c r="H29" s="11">
        <f>-11-G29-F29-E29</f>
        <v>0</v>
      </c>
      <c r="I29" s="11">
        <v>-4</v>
      </c>
      <c r="J29" s="11">
        <f>12-I29</f>
        <v>16</v>
      </c>
      <c r="K29" s="11">
        <f>4-J29-I29</f>
        <v>-8</v>
      </c>
      <c r="L29" s="11">
        <f>1-K29-J29-I29</f>
        <v>-3</v>
      </c>
      <c r="M29" s="11">
        <v>-2</v>
      </c>
      <c r="N29" s="11">
        <f>-6-M29</f>
        <v>-4</v>
      </c>
      <c r="O29" s="11">
        <f>-12-N29-M29</f>
        <v>-6</v>
      </c>
      <c r="P29" s="11">
        <f>-10-SUM(M29:O29)</f>
        <v>2</v>
      </c>
      <c r="Q29" s="11">
        <v>-3</v>
      </c>
      <c r="R29" s="11">
        <f>-2-Q29</f>
        <v>1</v>
      </c>
      <c r="S29" s="11">
        <v>-2</v>
      </c>
      <c r="T29" s="11"/>
      <c r="U29" s="1" t="s">
        <v>32</v>
      </c>
      <c r="V29" s="11">
        <f t="shared" si="6"/>
        <v>-4</v>
      </c>
      <c r="W29" s="11">
        <f t="shared" si="7"/>
        <v>-12</v>
      </c>
      <c r="X29" s="11">
        <f>SUM(M29:P29)</f>
        <v>-10</v>
      </c>
      <c r="Y29" s="11">
        <f>+I29+J29+K29+L29</f>
        <v>1</v>
      </c>
      <c r="Z29" s="11">
        <f>+H29+G29+F29+E29</f>
        <v>-11</v>
      </c>
      <c r="AA29" s="11">
        <f>+D29+C29+B29+A29</f>
        <v>2.8000000000000003</v>
      </c>
    </row>
    <row r="30" spans="1:27" s="1" customFormat="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V30" s="11"/>
      <c r="W30" s="11"/>
      <c r="X30" s="11"/>
      <c r="Y30" s="11"/>
      <c r="Z30" s="11"/>
      <c r="AA30" s="11"/>
    </row>
    <row r="31" spans="1:27" s="4" customFormat="1" ht="12.75">
      <c r="A31" s="10">
        <f aca="true" t="shared" si="11" ref="A31:L31">SUM(A32:A34)</f>
        <v>2</v>
      </c>
      <c r="B31" s="10">
        <f t="shared" si="11"/>
        <v>-0.5999999999999996</v>
      </c>
      <c r="C31" s="10">
        <f t="shared" si="11"/>
        <v>-0.6999999999999997</v>
      </c>
      <c r="D31" s="10">
        <f t="shared" si="11"/>
        <v>24</v>
      </c>
      <c r="E31" s="10">
        <f t="shared" si="11"/>
        <v>7</v>
      </c>
      <c r="F31" s="10">
        <f t="shared" si="11"/>
        <v>-7</v>
      </c>
      <c r="G31" s="10">
        <f t="shared" si="11"/>
        <v>-1</v>
      </c>
      <c r="H31" s="10">
        <f t="shared" si="11"/>
        <v>9</v>
      </c>
      <c r="I31" s="10">
        <f t="shared" si="11"/>
        <v>13.9</v>
      </c>
      <c r="J31" s="10">
        <f t="shared" si="11"/>
        <v>-4</v>
      </c>
      <c r="K31" s="10">
        <f t="shared" si="11"/>
        <v>2.1</v>
      </c>
      <c r="L31" s="10">
        <f t="shared" si="11"/>
        <v>54</v>
      </c>
      <c r="M31" s="10">
        <f aca="true" t="shared" si="12" ref="M31:T31">SUM(M32:M34)</f>
        <v>9</v>
      </c>
      <c r="N31" s="10">
        <f t="shared" si="12"/>
        <v>7</v>
      </c>
      <c r="O31" s="10">
        <f t="shared" si="12"/>
        <v>-17</v>
      </c>
      <c r="P31" s="10">
        <f t="shared" si="12"/>
        <v>27</v>
      </c>
      <c r="Q31" s="10">
        <f t="shared" si="12"/>
        <v>5</v>
      </c>
      <c r="R31" s="10">
        <f t="shared" si="12"/>
        <v>-5</v>
      </c>
      <c r="S31" s="10">
        <f t="shared" si="12"/>
        <v>-6</v>
      </c>
      <c r="T31" s="10">
        <f t="shared" si="12"/>
        <v>0</v>
      </c>
      <c r="U31" s="4" t="s">
        <v>22</v>
      </c>
      <c r="V31" s="10">
        <f t="shared" si="6"/>
        <v>-6</v>
      </c>
      <c r="W31" s="10">
        <f t="shared" si="7"/>
        <v>-1</v>
      </c>
      <c r="X31" s="10">
        <f>SUM(M31:P31)</f>
        <v>26</v>
      </c>
      <c r="Y31" s="10">
        <f>+I31+J31+K31+L31</f>
        <v>66</v>
      </c>
      <c r="Z31" s="10">
        <f>+H31+G31+F31+E31</f>
        <v>8</v>
      </c>
      <c r="AA31" s="10">
        <f>+D31+C31+B31+A31</f>
        <v>24.700000000000003</v>
      </c>
    </row>
    <row r="32" spans="1:27" s="1" customFormat="1" ht="12.75">
      <c r="A32" s="11">
        <v>-1.2</v>
      </c>
      <c r="B32" s="11">
        <v>-8.2</v>
      </c>
      <c r="C32" s="11">
        <v>0.3</v>
      </c>
      <c r="D32" s="11">
        <v>-1.1</v>
      </c>
      <c r="E32" s="11">
        <v>6</v>
      </c>
      <c r="F32" s="11">
        <f>0-E32</f>
        <v>-6</v>
      </c>
      <c r="G32" s="11">
        <f>4-F32-E32</f>
        <v>4</v>
      </c>
      <c r="H32" s="11">
        <f>13-G32-F32-E32</f>
        <v>9</v>
      </c>
      <c r="I32" s="11">
        <v>12</v>
      </c>
      <c r="J32" s="11">
        <f>4-I32</f>
        <v>-8</v>
      </c>
      <c r="K32" s="11">
        <f>4-J32-I32</f>
        <v>0</v>
      </c>
      <c r="L32" s="11">
        <f>16-K32-J32-I32</f>
        <v>12</v>
      </c>
      <c r="M32" s="11">
        <v>7</v>
      </c>
      <c r="N32" s="11">
        <f>4-M32</f>
        <v>-3</v>
      </c>
      <c r="O32" s="11">
        <f>4-N32-M32</f>
        <v>0</v>
      </c>
      <c r="P32" s="11">
        <f>8-SUM(M32:O32)</f>
        <v>4</v>
      </c>
      <c r="Q32" s="11">
        <v>4</v>
      </c>
      <c r="R32" s="11">
        <f>0-Q32</f>
        <v>-4</v>
      </c>
      <c r="S32" s="11">
        <f>-2-R32-Q32</f>
        <v>-2</v>
      </c>
      <c r="T32" s="11"/>
      <c r="U32" s="1" t="s">
        <v>23</v>
      </c>
      <c r="V32" s="11">
        <f t="shared" si="6"/>
        <v>-2</v>
      </c>
      <c r="W32" s="11">
        <f t="shared" si="7"/>
        <v>4</v>
      </c>
      <c r="X32" s="11">
        <f>SUM(M32:P32)</f>
        <v>8</v>
      </c>
      <c r="Y32" s="11">
        <f>+I32+J32+K32+L32</f>
        <v>16</v>
      </c>
      <c r="Z32" s="11">
        <f>+H32+G32+F32+E32</f>
        <v>13</v>
      </c>
      <c r="AA32" s="11">
        <f>+D32+C32+B32+A32</f>
        <v>-10.2</v>
      </c>
    </row>
    <row r="33" spans="1:27" s="1" customFormat="1" ht="12.75">
      <c r="A33" s="11">
        <v>5.5</v>
      </c>
      <c r="B33" s="11">
        <v>3.1</v>
      </c>
      <c r="C33" s="11">
        <v>1.3</v>
      </c>
      <c r="D33" s="11">
        <v>12.1</v>
      </c>
      <c r="E33" s="11">
        <v>6</v>
      </c>
      <c r="F33" s="11">
        <f>10-E33</f>
        <v>4</v>
      </c>
      <c r="G33" s="11">
        <f>10-F33-E33</f>
        <v>0</v>
      </c>
      <c r="H33" s="11">
        <f>14-G33-F33-E33</f>
        <v>4</v>
      </c>
      <c r="I33" s="11">
        <v>5</v>
      </c>
      <c r="J33" s="11">
        <f>10-I33</f>
        <v>5</v>
      </c>
      <c r="K33" s="11">
        <f>13-J33-I33</f>
        <v>3</v>
      </c>
      <c r="L33" s="11">
        <f>58-K33-J33-I33</f>
        <v>45</v>
      </c>
      <c r="M33" s="11">
        <v>4</v>
      </c>
      <c r="N33" s="11">
        <f>17-M33</f>
        <v>13</v>
      </c>
      <c r="O33" s="11">
        <f>14-N33-M33</f>
        <v>-3</v>
      </c>
      <c r="P33" s="11">
        <f>28-SUM(M33:O33)</f>
        <v>14</v>
      </c>
      <c r="Q33" s="11">
        <v>4</v>
      </c>
      <c r="R33" s="11">
        <f>6-Q33</f>
        <v>2</v>
      </c>
      <c r="S33" s="11">
        <f>4-R33-Q33</f>
        <v>-2</v>
      </c>
      <c r="T33" s="11"/>
      <c r="U33" s="1" t="s">
        <v>24</v>
      </c>
      <c r="V33" s="11">
        <f t="shared" si="6"/>
        <v>4</v>
      </c>
      <c r="W33" s="11">
        <f t="shared" si="7"/>
        <v>14</v>
      </c>
      <c r="X33" s="11">
        <f>SUM(M33:P33)</f>
        <v>28</v>
      </c>
      <c r="Y33" s="11">
        <f>+I33+J33+K33+L33</f>
        <v>58</v>
      </c>
      <c r="Z33" s="11">
        <f>+H33+G33+F33+E33</f>
        <v>14</v>
      </c>
      <c r="AA33" s="11">
        <f>+D33+C33+B33+A33</f>
        <v>22</v>
      </c>
    </row>
    <row r="34" spans="1:27" s="1" customFormat="1" ht="12.75">
      <c r="A34" s="11">
        <v>-2.3</v>
      </c>
      <c r="B34" s="11">
        <v>4.5</v>
      </c>
      <c r="C34" s="11">
        <v>-2.3</v>
      </c>
      <c r="D34" s="11">
        <v>13</v>
      </c>
      <c r="E34" s="11">
        <v>-5</v>
      </c>
      <c r="F34" s="11">
        <f>-10-E34</f>
        <v>-5</v>
      </c>
      <c r="G34" s="11">
        <f>-15-F34-E34</f>
        <v>-5</v>
      </c>
      <c r="H34" s="11">
        <f>-19-G34-F34-E34</f>
        <v>-4</v>
      </c>
      <c r="I34" s="11">
        <v>-3.1</v>
      </c>
      <c r="J34" s="11">
        <v>-1</v>
      </c>
      <c r="K34" s="11">
        <f>-5-J34-I34</f>
        <v>-0.8999999999999999</v>
      </c>
      <c r="L34" s="11">
        <f>-8-K34-J34-I34</f>
        <v>-2.9999999999999996</v>
      </c>
      <c r="M34" s="11">
        <v>-2</v>
      </c>
      <c r="N34" s="11">
        <f>-5-M34</f>
        <v>-3</v>
      </c>
      <c r="O34" s="11">
        <f>-19-N34-M34</f>
        <v>-14</v>
      </c>
      <c r="P34" s="11">
        <f>-10-SUM(M34:O34)</f>
        <v>9</v>
      </c>
      <c r="Q34" s="11">
        <v>-3</v>
      </c>
      <c r="R34" s="11">
        <f>-6-Q34</f>
        <v>-3</v>
      </c>
      <c r="S34" s="11">
        <f>-8-R34-Q34</f>
        <v>-2</v>
      </c>
      <c r="T34" s="11"/>
      <c r="U34" s="1" t="s">
        <v>32</v>
      </c>
      <c r="V34" s="11">
        <f t="shared" si="6"/>
        <v>-8</v>
      </c>
      <c r="W34" s="11">
        <f t="shared" si="7"/>
        <v>-19</v>
      </c>
      <c r="X34" s="11">
        <f>SUM(M34:P34)</f>
        <v>-10</v>
      </c>
      <c r="Y34" s="11">
        <f>+I34+J34+K34+L34</f>
        <v>-8</v>
      </c>
      <c r="Z34" s="11">
        <f>+H34+G34+F34+E34</f>
        <v>-19</v>
      </c>
      <c r="AA34" s="11">
        <f>+D34+C34+B34+A34</f>
        <v>12.899999999999999</v>
      </c>
    </row>
    <row r="35" spans="1:27" s="1" customFormat="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V35" s="11"/>
      <c r="W35" s="11"/>
      <c r="X35" s="11"/>
      <c r="Y35" s="11"/>
      <c r="Z35" s="11"/>
      <c r="AA35" s="11"/>
    </row>
    <row r="36" spans="1:27" s="4" customFormat="1" ht="12.75">
      <c r="A36" s="10">
        <f aca="true" t="shared" si="13" ref="A36:L36">SUM(A37:A39)</f>
        <v>2</v>
      </c>
      <c r="B36" s="10">
        <f t="shared" si="13"/>
        <v>1.2999999999999998</v>
      </c>
      <c r="C36" s="10">
        <f t="shared" si="13"/>
        <v>-15.2</v>
      </c>
      <c r="D36" s="10">
        <f t="shared" si="13"/>
        <v>-26.700000000000003</v>
      </c>
      <c r="E36" s="10">
        <f t="shared" si="13"/>
        <v>-15</v>
      </c>
      <c r="F36" s="10">
        <f t="shared" si="13"/>
        <v>-11</v>
      </c>
      <c r="G36" s="10">
        <f t="shared" si="13"/>
        <v>-14</v>
      </c>
      <c r="H36" s="10">
        <f t="shared" si="13"/>
        <v>-10</v>
      </c>
      <c r="I36" s="10">
        <f t="shared" si="13"/>
        <v>-13</v>
      </c>
      <c r="J36" s="10">
        <f t="shared" si="13"/>
        <v>-5</v>
      </c>
      <c r="K36" s="10">
        <f t="shared" si="13"/>
        <v>-10</v>
      </c>
      <c r="L36" s="10">
        <f t="shared" si="13"/>
        <v>-11</v>
      </c>
      <c r="M36" s="10">
        <f aca="true" t="shared" si="14" ref="M36:T36">SUM(M37:M39)</f>
        <v>-6</v>
      </c>
      <c r="N36" s="10">
        <f t="shared" si="14"/>
        <v>-2</v>
      </c>
      <c r="O36" s="10">
        <f t="shared" si="14"/>
        <v>-5</v>
      </c>
      <c r="P36" s="10">
        <f t="shared" si="14"/>
        <v>-12</v>
      </c>
      <c r="Q36" s="10">
        <f t="shared" si="14"/>
        <v>-5</v>
      </c>
      <c r="R36" s="10">
        <f t="shared" si="14"/>
        <v>2</v>
      </c>
      <c r="S36" s="10">
        <f t="shared" si="14"/>
        <v>-2</v>
      </c>
      <c r="T36" s="10">
        <f t="shared" si="14"/>
        <v>0</v>
      </c>
      <c r="U36" s="4" t="s">
        <v>25</v>
      </c>
      <c r="V36" s="10">
        <f t="shared" si="6"/>
        <v>-5</v>
      </c>
      <c r="W36" s="10">
        <f t="shared" si="7"/>
        <v>-13</v>
      </c>
      <c r="X36" s="10">
        <f>SUM(M36:P36)</f>
        <v>-25</v>
      </c>
      <c r="Y36" s="10">
        <f>+I36+J36+K36+L36</f>
        <v>-39</v>
      </c>
      <c r="Z36" s="10">
        <f>+H36+G36+F36+E36</f>
        <v>-50</v>
      </c>
      <c r="AA36" s="10">
        <f>+D36+C36+B36+A36</f>
        <v>-38.60000000000001</v>
      </c>
    </row>
    <row r="37" spans="1:27" s="1" customFormat="1" ht="12.75">
      <c r="A37" s="11"/>
      <c r="B37" s="11"/>
      <c r="C37" s="11">
        <v>-9.9</v>
      </c>
      <c r="D37" s="11">
        <v>-24.1</v>
      </c>
      <c r="E37" s="11">
        <v>-9</v>
      </c>
      <c r="F37" s="11">
        <f>-12-E37</f>
        <v>-3</v>
      </c>
      <c r="G37" s="11">
        <f>-18-F37-E37</f>
        <v>-6</v>
      </c>
      <c r="H37" s="11">
        <f>-26-G37-F37-E37</f>
        <v>-8</v>
      </c>
      <c r="I37" s="11">
        <v>-6</v>
      </c>
      <c r="J37" s="11">
        <f>-6-I37</f>
        <v>0</v>
      </c>
      <c r="K37" s="11">
        <f>-9-J37-I37</f>
        <v>-3</v>
      </c>
      <c r="L37" s="11">
        <f>-9-K37-J37-I37</f>
        <v>0</v>
      </c>
      <c r="M37" s="11">
        <v>2</v>
      </c>
      <c r="N37" s="11">
        <f>6-M37</f>
        <v>4</v>
      </c>
      <c r="O37" s="11">
        <f>8-N37-M37</f>
        <v>2</v>
      </c>
      <c r="P37" s="11">
        <f>11-SUM(M37:O37)</f>
        <v>3</v>
      </c>
      <c r="Q37" s="11">
        <v>2</v>
      </c>
      <c r="R37" s="11">
        <f>9-Q37</f>
        <v>7</v>
      </c>
      <c r="S37" s="11">
        <f>14-R37-Q37</f>
        <v>5</v>
      </c>
      <c r="T37" s="11"/>
      <c r="U37" s="1" t="s">
        <v>26</v>
      </c>
      <c r="V37" s="11">
        <f t="shared" si="6"/>
        <v>14</v>
      </c>
      <c r="W37" s="11">
        <f t="shared" si="7"/>
        <v>8</v>
      </c>
      <c r="X37" s="11">
        <f>SUM(M37:P37)</f>
        <v>11</v>
      </c>
      <c r="Y37" s="11">
        <f>+I37+J37+K37+L37</f>
        <v>-9</v>
      </c>
      <c r="Z37" s="11">
        <f>+H37+G37+F37+E37</f>
        <v>-26</v>
      </c>
      <c r="AA37" s="11">
        <f>+D37+C37+B37+A37</f>
        <v>-34</v>
      </c>
    </row>
    <row r="38" spans="1:27" s="1" customFormat="1" ht="12.75">
      <c r="A38" s="11">
        <v>3</v>
      </c>
      <c r="B38" s="11">
        <v>2.4</v>
      </c>
      <c r="C38" s="11">
        <v>-2.5</v>
      </c>
      <c r="D38" s="11">
        <v>0.2</v>
      </c>
      <c r="E38" s="11">
        <v>-3</v>
      </c>
      <c r="F38" s="11">
        <f>-8-E38</f>
        <v>-5</v>
      </c>
      <c r="G38" s="11">
        <f>-14-F38-E38</f>
        <v>-6</v>
      </c>
      <c r="H38" s="11">
        <f>-13-G38-F38-E38</f>
        <v>1</v>
      </c>
      <c r="I38" s="11">
        <v>-4</v>
      </c>
      <c r="J38" s="11">
        <f>-6-I38</f>
        <v>-2</v>
      </c>
      <c r="K38" s="11">
        <f>-10-J38-I38</f>
        <v>-4</v>
      </c>
      <c r="L38" s="11">
        <f>-17-K38-J38-I38</f>
        <v>-7</v>
      </c>
      <c r="M38" s="11">
        <v>-4</v>
      </c>
      <c r="N38" s="11">
        <f>-7-M38</f>
        <v>-3</v>
      </c>
      <c r="O38" s="11">
        <f>-11-N38-M38</f>
        <v>-4</v>
      </c>
      <c r="P38" s="11">
        <f>-22-SUM(M38:O38)</f>
        <v>-11</v>
      </c>
      <c r="Q38" s="11">
        <v>-3</v>
      </c>
      <c r="R38" s="11">
        <f>-5-Q38</f>
        <v>-2</v>
      </c>
      <c r="S38" s="11">
        <f>-9-R38-Q38</f>
        <v>-4</v>
      </c>
      <c r="T38" s="11"/>
      <c r="U38" s="1" t="s">
        <v>27</v>
      </c>
      <c r="V38" s="11">
        <f t="shared" si="6"/>
        <v>-9</v>
      </c>
      <c r="W38" s="11">
        <f t="shared" si="7"/>
        <v>-11</v>
      </c>
      <c r="X38" s="11">
        <f>SUM(M38:P38)</f>
        <v>-22</v>
      </c>
      <c r="Y38" s="11">
        <f>+I38+J38+K38+L38</f>
        <v>-17</v>
      </c>
      <c r="Z38" s="11">
        <f>+H38+G38+F38+E38</f>
        <v>-13</v>
      </c>
      <c r="AA38" s="11">
        <f>+D38+C38+B38+A38</f>
        <v>3.1</v>
      </c>
    </row>
    <row r="39" spans="1:27" s="1" customFormat="1" ht="12.75">
      <c r="A39" s="11">
        <v>-1</v>
      </c>
      <c r="B39" s="11">
        <v>-1.1</v>
      </c>
      <c r="C39" s="11">
        <v>-2.8</v>
      </c>
      <c r="D39" s="11">
        <v>-2.8</v>
      </c>
      <c r="E39" s="11">
        <v>-3</v>
      </c>
      <c r="F39" s="11">
        <f>-6-E39</f>
        <v>-3</v>
      </c>
      <c r="G39" s="11">
        <f>-8-F39-E39</f>
        <v>-2</v>
      </c>
      <c r="H39" s="11">
        <f>-11-G39-F39-E39</f>
        <v>-3</v>
      </c>
      <c r="I39" s="11">
        <v>-3</v>
      </c>
      <c r="J39" s="11">
        <f>-6-I39</f>
        <v>-3</v>
      </c>
      <c r="K39" s="11">
        <f>-9-J39-I39</f>
        <v>-3</v>
      </c>
      <c r="L39" s="11">
        <f>-13-K39-J39-I39</f>
        <v>-4</v>
      </c>
      <c r="M39" s="11">
        <v>-4</v>
      </c>
      <c r="N39" s="11">
        <f>-7-M39</f>
        <v>-3</v>
      </c>
      <c r="O39" s="11">
        <f>-10-N39-M39</f>
        <v>-3</v>
      </c>
      <c r="P39" s="11">
        <f>-14-SUM(M39:O39)</f>
        <v>-4</v>
      </c>
      <c r="Q39" s="11">
        <v>-4</v>
      </c>
      <c r="R39" s="11">
        <f>-7-Q39</f>
        <v>-3</v>
      </c>
      <c r="S39" s="11">
        <f>-10-R39-Q39</f>
        <v>-3</v>
      </c>
      <c r="T39" s="11"/>
      <c r="U39" s="1" t="s">
        <v>32</v>
      </c>
      <c r="V39" s="11">
        <f t="shared" si="6"/>
        <v>-10</v>
      </c>
      <c r="W39" s="11">
        <f t="shared" si="7"/>
        <v>-10</v>
      </c>
      <c r="X39" s="11">
        <f>SUM(M39:P39)</f>
        <v>-14</v>
      </c>
      <c r="Y39" s="11">
        <f>+I39+J39+K39+L39</f>
        <v>-13</v>
      </c>
      <c r="Z39" s="11">
        <f>+H39+G39+F39+E39</f>
        <v>-11</v>
      </c>
      <c r="AA39" s="11">
        <f>+D39+C39+B39+A39</f>
        <v>-7.699999999999999</v>
      </c>
    </row>
    <row r="40" spans="1:27" s="1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V40" s="11"/>
      <c r="W40" s="11"/>
      <c r="X40" s="11"/>
      <c r="Y40" s="11"/>
      <c r="Z40" s="11"/>
      <c r="AA40" s="11"/>
    </row>
    <row r="41" spans="1:27" s="4" customFormat="1" ht="12.75">
      <c r="A41" s="10">
        <f>SUM(A42:A45)</f>
        <v>18</v>
      </c>
      <c r="B41" s="10">
        <f aca="true" t="shared" si="15" ref="B41:O41">SUM(B42:B45)</f>
        <v>-9.799999999999999</v>
      </c>
      <c r="C41" s="10">
        <f t="shared" si="15"/>
        <v>-26.1</v>
      </c>
      <c r="D41" s="10">
        <f t="shared" si="15"/>
        <v>-85.19999999999999</v>
      </c>
      <c r="E41" s="10">
        <f t="shared" si="15"/>
        <v>-4</v>
      </c>
      <c r="F41" s="10">
        <f t="shared" si="15"/>
        <v>11</v>
      </c>
      <c r="G41" s="10">
        <f t="shared" si="15"/>
        <v>49</v>
      </c>
      <c r="H41" s="10">
        <f t="shared" si="15"/>
        <v>-8</v>
      </c>
      <c r="I41" s="10">
        <f t="shared" si="15"/>
        <v>23.4</v>
      </c>
      <c r="J41" s="10">
        <f t="shared" si="15"/>
        <v>-7</v>
      </c>
      <c r="K41" s="10">
        <f t="shared" si="15"/>
        <v>11</v>
      </c>
      <c r="L41" s="10">
        <f t="shared" si="15"/>
        <v>1</v>
      </c>
      <c r="M41" s="10">
        <f t="shared" si="15"/>
        <v>-6</v>
      </c>
      <c r="N41" s="10">
        <f t="shared" si="15"/>
        <v>-5</v>
      </c>
      <c r="O41" s="10">
        <f t="shared" si="15"/>
        <v>-9</v>
      </c>
      <c r="P41" s="10">
        <f>SUM(P42:P45)</f>
        <v>-21</v>
      </c>
      <c r="Q41" s="10">
        <f>SUM(Q42:Q45)</f>
        <v>20</v>
      </c>
      <c r="R41" s="10">
        <f>SUM(R42:R45)</f>
        <v>8</v>
      </c>
      <c r="S41" s="10">
        <f>SUM(S42:S45)</f>
        <v>9</v>
      </c>
      <c r="T41" s="10">
        <f>SUM(T42:T45)</f>
        <v>0</v>
      </c>
      <c r="U41" s="4" t="s">
        <v>28</v>
      </c>
      <c r="V41" s="10">
        <f t="shared" si="6"/>
        <v>37</v>
      </c>
      <c r="W41" s="10">
        <f t="shared" si="7"/>
        <v>-20</v>
      </c>
      <c r="X41" s="10">
        <f>SUM(M41:P41)</f>
        <v>-41</v>
      </c>
      <c r="Y41" s="10">
        <f>+I41+J41+K41+L41</f>
        <v>28.4</v>
      </c>
      <c r="Z41" s="10">
        <f>+H41+G41+F41+E41</f>
        <v>48</v>
      </c>
      <c r="AA41" s="10">
        <f>+D41+C41+B41+A41</f>
        <v>-103.09999999999998</v>
      </c>
    </row>
    <row r="42" spans="1:27" s="4" customFormat="1" ht="12.75">
      <c r="A42" s="11">
        <v>47</v>
      </c>
      <c r="B42" s="11">
        <v>15.5</v>
      </c>
      <c r="C42" s="11">
        <v>14.9</v>
      </c>
      <c r="D42" s="11">
        <v>1.2</v>
      </c>
      <c r="E42" s="11">
        <v>17</v>
      </c>
      <c r="F42" s="11">
        <f>34-E42</f>
        <v>17</v>
      </c>
      <c r="G42" s="11">
        <f>58-F42-E42</f>
        <v>24</v>
      </c>
      <c r="H42" s="11">
        <f>54-G42-F42-E42</f>
        <v>-4</v>
      </c>
      <c r="I42" s="11">
        <v>25.4</v>
      </c>
      <c r="J42" s="11">
        <v>16</v>
      </c>
      <c r="K42" s="11">
        <v>29</v>
      </c>
      <c r="L42" s="11">
        <v>21</v>
      </c>
      <c r="M42" s="11">
        <v>22</v>
      </c>
      <c r="N42" s="11">
        <v>25</v>
      </c>
      <c r="O42" s="11">
        <f>70-N42-M42</f>
        <v>23</v>
      </c>
      <c r="P42" s="11">
        <f>72-SUM(M42:O42)</f>
        <v>2</v>
      </c>
      <c r="Q42" s="11">
        <v>25</v>
      </c>
      <c r="R42" s="11">
        <f>48-Q42</f>
        <v>23</v>
      </c>
      <c r="S42" s="11">
        <f>69-R42-Q42</f>
        <v>21</v>
      </c>
      <c r="T42" s="11"/>
      <c r="U42" s="1" t="s">
        <v>52</v>
      </c>
      <c r="V42" s="11">
        <f>+Q42+R42+S42+T42</f>
        <v>69</v>
      </c>
      <c r="W42" s="11">
        <f t="shared" si="7"/>
        <v>70</v>
      </c>
      <c r="X42" s="11">
        <f>SUM(M42:P42)</f>
        <v>72</v>
      </c>
      <c r="Y42" s="11">
        <f>+I42+J42+K42+L42</f>
        <v>91.4</v>
      </c>
      <c r="Z42" s="11">
        <f>+H42+G42+F42+E42</f>
        <v>54</v>
      </c>
      <c r="AA42" s="11">
        <f>+D42+C42+B42+A42</f>
        <v>78.6</v>
      </c>
    </row>
    <row r="43" spans="1:27" s="1" customFormat="1" ht="12.75">
      <c r="A43" s="11">
        <v>-16.3</v>
      </c>
      <c r="B43" s="11">
        <v>-17.4</v>
      </c>
      <c r="C43" s="11">
        <v>-33.6</v>
      </c>
      <c r="D43" s="11">
        <v>-53.3</v>
      </c>
      <c r="E43" s="11">
        <v>-14</v>
      </c>
      <c r="F43" s="11">
        <f>-14-E43</f>
        <v>0</v>
      </c>
      <c r="G43" s="11">
        <f>16-F43-E43</f>
        <v>30</v>
      </c>
      <c r="H43" s="11">
        <f>-3-G43-F43-E43</f>
        <v>-19</v>
      </c>
      <c r="I43" s="11">
        <v>-2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" t="s">
        <v>17</v>
      </c>
      <c r="V43" s="11">
        <f>+Q43+R43+S43+T43</f>
        <v>0</v>
      </c>
      <c r="W43" s="11">
        <f t="shared" si="7"/>
        <v>0</v>
      </c>
      <c r="X43" s="11">
        <f>SUM(M43:P43)</f>
        <v>0</v>
      </c>
      <c r="Y43" s="11">
        <f>+I43+J43+K43+L43</f>
        <v>-2</v>
      </c>
      <c r="Z43" s="11">
        <f>+H43+G43+F43+E43</f>
        <v>-3</v>
      </c>
      <c r="AA43" s="11">
        <f>+D43+C43+B43+A43</f>
        <v>-120.60000000000001</v>
      </c>
    </row>
    <row r="44" spans="1:27" s="1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>
        <v>-18</v>
      </c>
      <c r="N44" s="11">
        <f>-35-M44</f>
        <v>-17</v>
      </c>
      <c r="O44" s="11">
        <f>-51-N44-M44</f>
        <v>-16</v>
      </c>
      <c r="P44" s="11">
        <f>-70-SUM(M44:O44)</f>
        <v>-19</v>
      </c>
      <c r="Q44" s="11">
        <v>-10</v>
      </c>
      <c r="R44" s="11">
        <f>-21-Q44</f>
        <v>-11</v>
      </c>
      <c r="S44" s="11">
        <f>-30-R44-Q44</f>
        <v>-9</v>
      </c>
      <c r="T44" s="11"/>
      <c r="U44" s="1" t="s">
        <v>44</v>
      </c>
      <c r="V44" s="11">
        <f>+Q44+R44+S44+T44</f>
        <v>-30</v>
      </c>
      <c r="W44" s="11">
        <f t="shared" si="7"/>
        <v>-51</v>
      </c>
      <c r="X44" s="11">
        <f>SUM(M44:P44)</f>
        <v>-70</v>
      </c>
      <c r="Y44" s="11"/>
      <c r="Z44" s="11"/>
      <c r="AA44" s="11"/>
    </row>
    <row r="45" spans="1:27" s="1" customFormat="1" ht="12.75">
      <c r="A45" s="12">
        <v>-12.7</v>
      </c>
      <c r="B45" s="12">
        <v>-7.9</v>
      </c>
      <c r="C45" s="12">
        <v>-7.4</v>
      </c>
      <c r="D45" s="12">
        <v>-33.1</v>
      </c>
      <c r="E45" s="12">
        <v>-7</v>
      </c>
      <c r="F45" s="12">
        <v>-6</v>
      </c>
      <c r="G45" s="12">
        <f>-18-F45-E45</f>
        <v>-5</v>
      </c>
      <c r="H45" s="12">
        <f>-3-G45-F45-E45</f>
        <v>15</v>
      </c>
      <c r="I45" s="12">
        <v>0</v>
      </c>
      <c r="J45" s="12">
        <v>-23</v>
      </c>
      <c r="K45" s="12">
        <f>-41-J45-I45</f>
        <v>-18</v>
      </c>
      <c r="L45" s="12">
        <f>-61-K45-J45-I45</f>
        <v>-20</v>
      </c>
      <c r="M45" s="12">
        <v>-10</v>
      </c>
      <c r="N45" s="12">
        <f>-23-M45</f>
        <v>-13</v>
      </c>
      <c r="O45" s="12">
        <f>-39-N45-M45</f>
        <v>-16</v>
      </c>
      <c r="P45" s="12">
        <f>-43-SUM(M45:O45)</f>
        <v>-4</v>
      </c>
      <c r="Q45" s="12">
        <v>5</v>
      </c>
      <c r="R45" s="12">
        <f>1-Q45</f>
        <v>-4</v>
      </c>
      <c r="S45" s="12">
        <v>-3</v>
      </c>
      <c r="T45" s="12"/>
      <c r="U45" s="12" t="s">
        <v>18</v>
      </c>
      <c r="V45" s="12">
        <f>+Q45+R45+S45+T45</f>
        <v>-2</v>
      </c>
      <c r="W45" s="12">
        <f t="shared" si="7"/>
        <v>-39</v>
      </c>
      <c r="X45" s="12">
        <f>SUM(M45:P45)</f>
        <v>-43</v>
      </c>
      <c r="Y45" s="12">
        <f>+I45+J45+K45+L45</f>
        <v>-61</v>
      </c>
      <c r="Z45" s="12">
        <f>+H45+G45+F45+E45</f>
        <v>-3</v>
      </c>
      <c r="AA45" s="12">
        <f>+D45+C45+B45+A45</f>
        <v>-61.099999999999994</v>
      </c>
    </row>
    <row r="46" s="1" customFormat="1" ht="12.75"/>
    <row r="47" s="1" customFormat="1" ht="12.75"/>
    <row r="48" s="4" customFormat="1" ht="12.75"/>
    <row r="49" spans="1:27" s="1" customFormat="1" ht="12.75">
      <c r="A49" s="24" t="s">
        <v>0</v>
      </c>
      <c r="B49" s="24" t="s">
        <v>1</v>
      </c>
      <c r="C49" s="24" t="s">
        <v>2</v>
      </c>
      <c r="D49" s="24" t="s">
        <v>3</v>
      </c>
      <c r="E49" s="24" t="s">
        <v>0</v>
      </c>
      <c r="F49" s="24" t="s">
        <v>1</v>
      </c>
      <c r="G49" s="24" t="s">
        <v>2</v>
      </c>
      <c r="H49" s="24" t="s">
        <v>3</v>
      </c>
      <c r="I49" s="19" t="s">
        <v>0</v>
      </c>
      <c r="J49" s="24" t="s">
        <v>1</v>
      </c>
      <c r="K49" s="43" t="s">
        <v>2</v>
      </c>
      <c r="L49" s="24" t="s">
        <v>3</v>
      </c>
      <c r="M49" s="19" t="s">
        <v>0</v>
      </c>
      <c r="N49" s="24" t="s">
        <v>1</v>
      </c>
      <c r="O49" s="24" t="s">
        <v>2</v>
      </c>
      <c r="P49" s="24" t="s">
        <v>3</v>
      </c>
      <c r="Q49" s="19" t="s">
        <v>0</v>
      </c>
      <c r="R49" s="24" t="s">
        <v>1</v>
      </c>
      <c r="S49" s="24" t="s">
        <v>2</v>
      </c>
      <c r="T49" s="24" t="s">
        <v>3</v>
      </c>
      <c r="U49" s="39" t="s">
        <v>49</v>
      </c>
      <c r="V49" s="7" t="s">
        <v>5</v>
      </c>
      <c r="W49" s="7" t="s">
        <v>5</v>
      </c>
      <c r="X49" s="7" t="s">
        <v>6</v>
      </c>
      <c r="Y49" s="7" t="s">
        <v>5</v>
      </c>
      <c r="Z49" s="7" t="s">
        <v>6</v>
      </c>
      <c r="AA49" s="7" t="s">
        <v>6</v>
      </c>
    </row>
    <row r="50" spans="1:27" s="1" customFormat="1" ht="12.75">
      <c r="A50" s="8" t="s">
        <v>7</v>
      </c>
      <c r="B50" s="8" t="s">
        <v>7</v>
      </c>
      <c r="C50" s="8" t="s">
        <v>7</v>
      </c>
      <c r="D50" s="8" t="s">
        <v>7</v>
      </c>
      <c r="E50" s="8" t="s">
        <v>8</v>
      </c>
      <c r="F50" s="8" t="s">
        <v>8</v>
      </c>
      <c r="G50" s="8" t="s">
        <v>8</v>
      </c>
      <c r="H50" s="8" t="s">
        <v>8</v>
      </c>
      <c r="I50" s="21" t="s">
        <v>9</v>
      </c>
      <c r="J50" s="8" t="s">
        <v>9</v>
      </c>
      <c r="K50" s="44" t="s">
        <v>9</v>
      </c>
      <c r="L50" s="8" t="s">
        <v>9</v>
      </c>
      <c r="M50" s="21" t="s">
        <v>41</v>
      </c>
      <c r="N50" s="8">
        <v>2001</v>
      </c>
      <c r="O50" s="8">
        <v>2001</v>
      </c>
      <c r="P50" s="8">
        <v>2001</v>
      </c>
      <c r="Q50" s="21" t="s">
        <v>48</v>
      </c>
      <c r="R50" s="8">
        <v>2002</v>
      </c>
      <c r="S50" s="8">
        <v>2002</v>
      </c>
      <c r="T50" s="8">
        <v>2002</v>
      </c>
      <c r="U50" s="10" t="s">
        <v>51</v>
      </c>
      <c r="V50" s="8" t="s">
        <v>48</v>
      </c>
      <c r="W50" s="8" t="s">
        <v>41</v>
      </c>
      <c r="X50" s="8" t="s">
        <v>41</v>
      </c>
      <c r="Y50" s="8" t="s">
        <v>9</v>
      </c>
      <c r="Z50" s="8" t="s">
        <v>8</v>
      </c>
      <c r="AA50" s="8" t="s">
        <v>7</v>
      </c>
    </row>
    <row r="51" spans="1:27" s="1" customFormat="1" ht="12.75">
      <c r="A51" s="12"/>
      <c r="B51" s="12"/>
      <c r="C51" s="12"/>
      <c r="D51" s="12"/>
      <c r="E51" s="12"/>
      <c r="F51" s="12"/>
      <c r="G51" s="12"/>
      <c r="H51" s="12"/>
      <c r="I51" s="28"/>
      <c r="J51" s="12"/>
      <c r="K51" s="12"/>
      <c r="L51" s="12"/>
      <c r="M51" s="28"/>
      <c r="N51" s="12"/>
      <c r="O51" s="12"/>
      <c r="P51" s="12"/>
      <c r="Q51" s="28"/>
      <c r="R51" s="12"/>
      <c r="S51" s="12"/>
      <c r="T51" s="12"/>
      <c r="U51" s="38" t="s">
        <v>50</v>
      </c>
      <c r="V51" s="12"/>
      <c r="W51" s="38"/>
      <c r="X51" s="38"/>
      <c r="Y51" s="12"/>
      <c r="Z51" s="12"/>
      <c r="AA51" s="12"/>
    </row>
    <row r="52" spans="1:27" s="1" customFormat="1" ht="12.75">
      <c r="A52" s="11"/>
      <c r="B52" s="11"/>
      <c r="C52" s="11"/>
      <c r="D52" s="11"/>
      <c r="E52" s="11"/>
      <c r="F52" s="11"/>
      <c r="G52" s="11"/>
      <c r="H52" s="11"/>
      <c r="I52" s="27"/>
      <c r="J52" s="11"/>
      <c r="K52" s="11"/>
      <c r="L52" s="11"/>
      <c r="M52" s="27"/>
      <c r="N52" s="11"/>
      <c r="O52" s="11"/>
      <c r="P52" s="11"/>
      <c r="Q52" s="27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1" customFormat="1" ht="12.75">
      <c r="A53" s="11">
        <v>-4</v>
      </c>
      <c r="B53" s="11">
        <v>-5.3</v>
      </c>
      <c r="C53" s="11">
        <v>-4.7</v>
      </c>
      <c r="D53" s="11">
        <v>-3.9</v>
      </c>
      <c r="E53" s="11">
        <v>-4</v>
      </c>
      <c r="F53" s="11">
        <f>-9-E53</f>
        <v>-5</v>
      </c>
      <c r="G53" s="11">
        <f>-14-F53-E53</f>
        <v>-5</v>
      </c>
      <c r="H53" s="11">
        <f>-18-G53-F53-E53</f>
        <v>-4</v>
      </c>
      <c r="I53" s="27">
        <v>-4</v>
      </c>
      <c r="J53" s="11">
        <v>-7</v>
      </c>
      <c r="K53" s="11">
        <v>-6</v>
      </c>
      <c r="L53" s="11">
        <v>-5</v>
      </c>
      <c r="M53" s="27">
        <v>-5</v>
      </c>
      <c r="N53" s="11">
        <f>-10-M53</f>
        <v>-5</v>
      </c>
      <c r="O53" s="11">
        <f>-16-N53-M53</f>
        <v>-6</v>
      </c>
      <c r="P53" s="11">
        <v>-5</v>
      </c>
      <c r="Q53" s="27">
        <v>-5</v>
      </c>
      <c r="R53" s="11">
        <v>-5</v>
      </c>
      <c r="S53" s="11">
        <f>-16-R53-Q53</f>
        <v>-6</v>
      </c>
      <c r="T53" s="11"/>
      <c r="U53" s="11" t="s">
        <v>11</v>
      </c>
      <c r="V53" s="11">
        <f>+Q53+R53+S53+T53</f>
        <v>-16</v>
      </c>
      <c r="W53" s="11">
        <f>+M53+N53+O53</f>
        <v>-16</v>
      </c>
      <c r="X53" s="11">
        <f>SUM(M53:P53)</f>
        <v>-21</v>
      </c>
      <c r="Y53" s="11">
        <f>+I53+J53+K53+L53</f>
        <v>-22</v>
      </c>
      <c r="Z53" s="11">
        <f>+H53+G53+F53+E53</f>
        <v>-18</v>
      </c>
      <c r="AA53" s="11">
        <f>+D53+C53+B53+A53</f>
        <v>-17.9</v>
      </c>
    </row>
    <row r="54" spans="1:27" s="1" customFormat="1" ht="12.75">
      <c r="A54" s="11">
        <v>-1.4</v>
      </c>
      <c r="B54" s="11">
        <v>-1.5</v>
      </c>
      <c r="C54" s="11">
        <v>-1.3</v>
      </c>
      <c r="D54" s="11">
        <v>-0.9</v>
      </c>
      <c r="E54" s="11">
        <v>-8</v>
      </c>
      <c r="F54" s="11">
        <f>-11-E54</f>
        <v>-3</v>
      </c>
      <c r="G54" s="11">
        <f>-14-F54-E54</f>
        <v>-3</v>
      </c>
      <c r="H54" s="11">
        <f>-16-G54-F54-E54</f>
        <v>-2</v>
      </c>
      <c r="I54" s="27">
        <v>-2</v>
      </c>
      <c r="J54" s="11">
        <v>-2</v>
      </c>
      <c r="K54" s="11">
        <v>-2</v>
      </c>
      <c r="L54" s="11">
        <v>-3</v>
      </c>
      <c r="M54" s="27">
        <v>-1</v>
      </c>
      <c r="N54" s="11">
        <f>-5-M54</f>
        <v>-4</v>
      </c>
      <c r="O54" s="11">
        <f>-8-N54-M54</f>
        <v>-3</v>
      </c>
      <c r="P54" s="11">
        <v>-2</v>
      </c>
      <c r="Q54" s="27">
        <v>-3</v>
      </c>
      <c r="R54" s="11">
        <v>-1</v>
      </c>
      <c r="S54" s="11">
        <f>-7-R54-Q54</f>
        <v>-3</v>
      </c>
      <c r="T54" s="11"/>
      <c r="U54" s="11" t="s">
        <v>19</v>
      </c>
      <c r="V54" s="11">
        <f>+Q54+R54+S54+T54</f>
        <v>-7</v>
      </c>
      <c r="W54" s="11">
        <f>+M54+N54+O54</f>
        <v>-8</v>
      </c>
      <c r="X54" s="11">
        <f>SUM(M54:P54)</f>
        <v>-10</v>
      </c>
      <c r="Y54" s="11">
        <f>+I54+J54+K54+L54</f>
        <v>-9</v>
      </c>
      <c r="Z54" s="11">
        <f>+H54+G54+F54+E54</f>
        <v>-16</v>
      </c>
      <c r="AA54" s="11">
        <f>+D54+C54+B54+A54</f>
        <v>-5.1</v>
      </c>
    </row>
    <row r="55" spans="1:27" s="1" customFormat="1" ht="12.75">
      <c r="A55" s="11">
        <v>-4</v>
      </c>
      <c r="B55" s="11">
        <v>-4.6</v>
      </c>
      <c r="C55" s="11">
        <v>-4.2</v>
      </c>
      <c r="D55" s="11">
        <v>-5.5</v>
      </c>
      <c r="E55" s="11">
        <v>-5</v>
      </c>
      <c r="F55" s="11">
        <f>-10-E55</f>
        <v>-5</v>
      </c>
      <c r="G55" s="11">
        <f>-18-F55-E55</f>
        <v>-8</v>
      </c>
      <c r="H55" s="11">
        <f>-24-G55-F55-E55</f>
        <v>-6</v>
      </c>
      <c r="I55" s="27">
        <v>-3</v>
      </c>
      <c r="J55" s="11">
        <v>-3</v>
      </c>
      <c r="K55" s="11">
        <v>-3</v>
      </c>
      <c r="L55" s="11">
        <v>-3</v>
      </c>
      <c r="M55" s="27">
        <v>-3</v>
      </c>
      <c r="N55" s="11">
        <f>-7-M55</f>
        <v>-4</v>
      </c>
      <c r="O55" s="11">
        <f>-11-N55-M55</f>
        <v>-4</v>
      </c>
      <c r="P55" s="11">
        <v>-19</v>
      </c>
      <c r="Q55" s="27">
        <v>-4</v>
      </c>
      <c r="R55" s="11">
        <v>-4</v>
      </c>
      <c r="S55" s="11">
        <v>-4</v>
      </c>
      <c r="T55" s="11"/>
      <c r="U55" s="11" t="s">
        <v>22</v>
      </c>
      <c r="V55" s="11">
        <f>+Q55+R55+S55+T55</f>
        <v>-12</v>
      </c>
      <c r="W55" s="11">
        <f>+M55+N55+O55</f>
        <v>-11</v>
      </c>
      <c r="X55" s="11">
        <f>SUM(M55:P55)</f>
        <v>-30</v>
      </c>
      <c r="Y55" s="11">
        <f>+I55+J55+K55+L55</f>
        <v>-12</v>
      </c>
      <c r="Z55" s="11">
        <f>+H55+G55+F55+E55</f>
        <v>-24</v>
      </c>
      <c r="AA55" s="11">
        <f>+D55+C55+B55+A55</f>
        <v>-18.299999999999997</v>
      </c>
    </row>
    <row r="56" spans="1:27" s="1" customFormat="1" ht="12.75">
      <c r="A56" s="11">
        <v>-1</v>
      </c>
      <c r="B56" s="11">
        <v>-1.1</v>
      </c>
      <c r="C56" s="11">
        <v>-2.8</v>
      </c>
      <c r="D56" s="11">
        <v>-2.8</v>
      </c>
      <c r="E56" s="11">
        <v>-4</v>
      </c>
      <c r="F56" s="11">
        <f>-9-E56</f>
        <v>-5</v>
      </c>
      <c r="G56" s="11">
        <f>-13-F56-E56</f>
        <v>-4</v>
      </c>
      <c r="H56" s="11">
        <f>-18-G56-F56-E56</f>
        <v>-5</v>
      </c>
      <c r="I56" s="27">
        <v>-5</v>
      </c>
      <c r="J56" s="11">
        <v>-4</v>
      </c>
      <c r="K56" s="11">
        <v>-5</v>
      </c>
      <c r="L56" s="11">
        <v>-5</v>
      </c>
      <c r="M56" s="27">
        <v>-5</v>
      </c>
      <c r="N56" s="11">
        <f>-9-M56</f>
        <v>-4</v>
      </c>
      <c r="O56" s="11">
        <f>-13-N56-M56</f>
        <v>-4</v>
      </c>
      <c r="P56" s="11">
        <v>-12</v>
      </c>
      <c r="Q56" s="27">
        <v>-5</v>
      </c>
      <c r="R56" s="11">
        <v>-4</v>
      </c>
      <c r="S56" s="11">
        <f>-13-R56-Q56</f>
        <v>-4</v>
      </c>
      <c r="T56" s="11"/>
      <c r="U56" s="11" t="s">
        <v>25</v>
      </c>
      <c r="V56" s="11">
        <f>+Q56+R56+S56+T56</f>
        <v>-13</v>
      </c>
      <c r="W56" s="11">
        <f>+M56+N56+O56</f>
        <v>-13</v>
      </c>
      <c r="X56" s="11">
        <f>SUM(M56:P56)</f>
        <v>-25</v>
      </c>
      <c r="Y56" s="11">
        <f>+I56+J56+K56+L56</f>
        <v>-19</v>
      </c>
      <c r="Z56" s="11">
        <f>+H56+G56+F56+E56</f>
        <v>-18</v>
      </c>
      <c r="AA56" s="11">
        <f>+D56+C56+B56+A56</f>
        <v>-7.699999999999999</v>
      </c>
    </row>
    <row r="57" spans="1:27" s="1" customFormat="1" ht="12.75">
      <c r="A57" s="11">
        <v>-1.4</v>
      </c>
      <c r="B57" s="11">
        <v>-1.4</v>
      </c>
      <c r="C57" s="11">
        <v>-1.4</v>
      </c>
      <c r="D57" s="11">
        <v>-1.4</v>
      </c>
      <c r="E57" s="11">
        <v>-1</v>
      </c>
      <c r="F57" s="11">
        <v>-1</v>
      </c>
      <c r="G57" s="11">
        <v>-2</v>
      </c>
      <c r="H57" s="11">
        <v>-3</v>
      </c>
      <c r="I57" s="27">
        <f>0-4</f>
        <v>-4</v>
      </c>
      <c r="J57" s="11">
        <f>0.2-6</f>
        <v>-5.8</v>
      </c>
      <c r="K57" s="11">
        <f>0-1</f>
        <v>-1</v>
      </c>
      <c r="L57" s="11">
        <v>1</v>
      </c>
      <c r="M57" s="27">
        <v>0</v>
      </c>
      <c r="N57" s="11">
        <v>0</v>
      </c>
      <c r="O57" s="11">
        <f>1-N57-M57</f>
        <v>1</v>
      </c>
      <c r="P57" s="11">
        <v>0</v>
      </c>
      <c r="Q57" s="27">
        <v>1</v>
      </c>
      <c r="R57" s="11">
        <v>-1</v>
      </c>
      <c r="S57" s="11">
        <f>1-R57-Q57</f>
        <v>1</v>
      </c>
      <c r="T57" s="11"/>
      <c r="U57" s="11" t="s">
        <v>28</v>
      </c>
      <c r="V57" s="11">
        <f>+Q57+R57+S57+T57</f>
        <v>1</v>
      </c>
      <c r="W57" s="11">
        <f>+M57+N57+O57</f>
        <v>1</v>
      </c>
      <c r="X57" s="11">
        <f>SUM(M57:P57)</f>
        <v>1</v>
      </c>
      <c r="Y57" s="11">
        <f>+I57+J57+K57+L57</f>
        <v>-9.8</v>
      </c>
      <c r="Z57" s="11">
        <f>+H57+G57+F57+E57</f>
        <v>-7</v>
      </c>
      <c r="AA57" s="11">
        <f>+D57+C57+B57+A57</f>
        <v>-5.6</v>
      </c>
    </row>
    <row r="58" spans="1:27" s="1" customFormat="1" ht="12.75">
      <c r="A58" s="11"/>
      <c r="B58" s="11"/>
      <c r="C58" s="29" t="s">
        <v>21</v>
      </c>
      <c r="D58" s="11"/>
      <c r="E58" s="11"/>
      <c r="F58" s="11"/>
      <c r="G58" s="11"/>
      <c r="H58" s="11"/>
      <c r="I58" s="27"/>
      <c r="J58" s="11"/>
      <c r="K58" s="11"/>
      <c r="L58" s="11"/>
      <c r="M58" s="27"/>
      <c r="N58" s="11"/>
      <c r="O58" s="11"/>
      <c r="P58" s="11"/>
      <c r="Q58" s="27"/>
      <c r="R58" s="11"/>
      <c r="S58" s="11"/>
      <c r="T58" s="11"/>
      <c r="U58" s="11"/>
      <c r="V58" s="11"/>
      <c r="W58" s="11"/>
      <c r="X58" s="11"/>
      <c r="Y58" s="41"/>
      <c r="Z58" s="11"/>
      <c r="AA58" s="11"/>
    </row>
    <row r="59" spans="1:27" s="4" customFormat="1" ht="12.75">
      <c r="A59" s="38">
        <f aca="true" t="shared" si="16" ref="A59:N59">SUM(A53:A58)</f>
        <v>-11.8</v>
      </c>
      <c r="B59" s="38">
        <f t="shared" si="16"/>
        <v>-13.899999999999999</v>
      </c>
      <c r="C59" s="38">
        <f t="shared" si="16"/>
        <v>-14.4</v>
      </c>
      <c r="D59" s="38">
        <f t="shared" si="16"/>
        <v>-14.500000000000002</v>
      </c>
      <c r="E59" s="38">
        <f t="shared" si="16"/>
        <v>-22</v>
      </c>
      <c r="F59" s="38">
        <f t="shared" si="16"/>
        <v>-19</v>
      </c>
      <c r="G59" s="38">
        <f t="shared" si="16"/>
        <v>-22</v>
      </c>
      <c r="H59" s="38">
        <f t="shared" si="16"/>
        <v>-20</v>
      </c>
      <c r="I59" s="42">
        <f t="shared" si="16"/>
        <v>-18</v>
      </c>
      <c r="J59" s="38">
        <f t="shared" si="16"/>
        <v>-21.8</v>
      </c>
      <c r="K59" s="38">
        <f t="shared" si="16"/>
        <v>-17</v>
      </c>
      <c r="L59" s="38">
        <f t="shared" si="16"/>
        <v>-15</v>
      </c>
      <c r="M59" s="42">
        <f t="shared" si="16"/>
        <v>-14</v>
      </c>
      <c r="N59" s="38">
        <f t="shared" si="16"/>
        <v>-17</v>
      </c>
      <c r="O59" s="38">
        <f aca="true" t="shared" si="17" ref="O59:T59">SUM(O53:O58)</f>
        <v>-16</v>
      </c>
      <c r="P59" s="38">
        <f t="shared" si="17"/>
        <v>-38</v>
      </c>
      <c r="Q59" s="42">
        <f t="shared" si="17"/>
        <v>-16</v>
      </c>
      <c r="R59" s="38">
        <f t="shared" si="17"/>
        <v>-15</v>
      </c>
      <c r="S59" s="38">
        <f t="shared" si="17"/>
        <v>-16</v>
      </c>
      <c r="T59" s="38">
        <f t="shared" si="17"/>
        <v>0</v>
      </c>
      <c r="U59" s="38" t="s">
        <v>33</v>
      </c>
      <c r="V59" s="38">
        <f aca="true" t="shared" si="18" ref="V59:AA59">SUM(V53:V58)</f>
        <v>-47</v>
      </c>
      <c r="W59" s="38">
        <f t="shared" si="18"/>
        <v>-47</v>
      </c>
      <c r="X59" s="38">
        <f t="shared" si="18"/>
        <v>-85</v>
      </c>
      <c r="Y59" s="38">
        <f t="shared" si="18"/>
        <v>-71.8</v>
      </c>
      <c r="Z59" s="38">
        <f t="shared" si="18"/>
        <v>-83</v>
      </c>
      <c r="AA59" s="38">
        <f t="shared" si="18"/>
        <v>-54.6</v>
      </c>
    </row>
    <row r="60" s="1" customFormat="1" ht="12.75"/>
    <row r="61" s="1" customFormat="1" ht="12.75"/>
    <row r="62" spans="5:27" s="1" customFormat="1" ht="12.75">
      <c r="E62" s="24" t="s">
        <v>0</v>
      </c>
      <c r="F62" s="24" t="s">
        <v>1</v>
      </c>
      <c r="G62" s="24" t="s">
        <v>2</v>
      </c>
      <c r="H62" s="19" t="s">
        <v>3</v>
      </c>
      <c r="I62" s="24" t="s">
        <v>0</v>
      </c>
      <c r="J62" s="19" t="s">
        <v>1</v>
      </c>
      <c r="K62" s="43" t="s">
        <v>2</v>
      </c>
      <c r="L62" s="24" t="s">
        <v>3</v>
      </c>
      <c r="M62" s="24" t="s">
        <v>0</v>
      </c>
      <c r="N62" s="19" t="s">
        <v>1</v>
      </c>
      <c r="O62" s="24" t="s">
        <v>2</v>
      </c>
      <c r="P62" s="24" t="s">
        <v>3</v>
      </c>
      <c r="Q62" s="19" t="s">
        <v>0</v>
      </c>
      <c r="R62" s="24" t="s">
        <v>1</v>
      </c>
      <c r="S62" s="24" t="s">
        <v>2</v>
      </c>
      <c r="T62" s="24" t="s">
        <v>3</v>
      </c>
      <c r="U62" s="46" t="s">
        <v>34</v>
      </c>
      <c r="V62" s="7" t="s">
        <v>5</v>
      </c>
      <c r="W62" s="7" t="s">
        <v>5</v>
      </c>
      <c r="X62" s="7" t="s">
        <v>6</v>
      </c>
      <c r="Y62" s="7" t="s">
        <v>5</v>
      </c>
      <c r="Z62" s="7" t="s">
        <v>6</v>
      </c>
      <c r="AA62" s="7" t="s">
        <v>6</v>
      </c>
    </row>
    <row r="63" spans="5:27" s="1" customFormat="1" ht="12.75">
      <c r="E63" s="8" t="s">
        <v>8</v>
      </c>
      <c r="F63" s="8" t="s">
        <v>8</v>
      </c>
      <c r="G63" s="8" t="s">
        <v>8</v>
      </c>
      <c r="H63" s="21" t="s">
        <v>8</v>
      </c>
      <c r="I63" s="8" t="s">
        <v>9</v>
      </c>
      <c r="J63" s="21" t="s">
        <v>9</v>
      </c>
      <c r="K63" s="44" t="s">
        <v>9</v>
      </c>
      <c r="L63" s="8" t="s">
        <v>9</v>
      </c>
      <c r="M63" s="8" t="s">
        <v>41</v>
      </c>
      <c r="N63" s="21">
        <v>2001</v>
      </c>
      <c r="O63" s="8">
        <v>2001</v>
      </c>
      <c r="P63" s="8">
        <v>2001</v>
      </c>
      <c r="Q63" s="21" t="s">
        <v>48</v>
      </c>
      <c r="R63" s="8">
        <v>2002</v>
      </c>
      <c r="S63" s="8">
        <v>2002</v>
      </c>
      <c r="T63" s="8">
        <v>2002</v>
      </c>
      <c r="U63" s="32" t="s">
        <v>35</v>
      </c>
      <c r="V63" s="8" t="s">
        <v>48</v>
      </c>
      <c r="W63" s="8" t="s">
        <v>41</v>
      </c>
      <c r="X63" s="8" t="s">
        <v>41</v>
      </c>
      <c r="Y63" s="8" t="s">
        <v>9</v>
      </c>
      <c r="Z63" s="8" t="s">
        <v>8</v>
      </c>
      <c r="AA63" s="8" t="s">
        <v>7</v>
      </c>
    </row>
    <row r="64" spans="5:27" s="1" customFormat="1" ht="12.75">
      <c r="E64" s="12"/>
      <c r="F64" s="12"/>
      <c r="G64" s="12"/>
      <c r="H64" s="28"/>
      <c r="I64" s="12"/>
      <c r="J64" s="28"/>
      <c r="K64" s="12"/>
      <c r="L64" s="12"/>
      <c r="M64" s="12"/>
      <c r="N64" s="28"/>
      <c r="O64" s="12"/>
      <c r="P64" s="12"/>
      <c r="Q64" s="28"/>
      <c r="R64" s="12"/>
      <c r="S64" s="12"/>
      <c r="T64" s="12"/>
      <c r="U64" s="40" t="s">
        <v>40</v>
      </c>
      <c r="V64" s="12"/>
      <c r="W64" s="38"/>
      <c r="X64" s="38"/>
      <c r="Y64" s="12"/>
      <c r="Z64" s="12"/>
      <c r="AA64" s="12"/>
    </row>
    <row r="65" spans="5:27" s="1" customFormat="1" ht="12.75">
      <c r="E65" s="11"/>
      <c r="F65" s="11"/>
      <c r="G65" s="11"/>
      <c r="H65" s="27"/>
      <c r="I65" s="11"/>
      <c r="J65" s="27"/>
      <c r="K65" s="11"/>
      <c r="L65" s="11"/>
      <c r="M65" s="11"/>
      <c r="N65" s="27"/>
      <c r="O65" s="11"/>
      <c r="P65" s="11"/>
      <c r="Q65" s="27"/>
      <c r="R65" s="11"/>
      <c r="S65" s="11"/>
      <c r="T65" s="11"/>
      <c r="U65" s="33"/>
      <c r="V65" s="11"/>
      <c r="W65" s="11"/>
      <c r="X65" s="11"/>
      <c r="Y65" s="11"/>
      <c r="Z65" s="11"/>
      <c r="AA65" s="11"/>
    </row>
    <row r="66" spans="5:27" s="1" customFormat="1" ht="12.75">
      <c r="E66" s="11">
        <v>-66</v>
      </c>
      <c r="F66" s="11">
        <f>-103-E66</f>
        <v>-37</v>
      </c>
      <c r="G66" s="11">
        <f>-113-F66-E66</f>
        <v>-10</v>
      </c>
      <c r="H66" s="27">
        <f>-130-G66-F66-E66</f>
        <v>-17</v>
      </c>
      <c r="I66" s="11"/>
      <c r="J66" s="27">
        <v>49</v>
      </c>
      <c r="K66" s="11">
        <v>-8</v>
      </c>
      <c r="L66" s="11">
        <v>-6</v>
      </c>
      <c r="M66" s="11">
        <v>0</v>
      </c>
      <c r="N66" s="27">
        <v>0</v>
      </c>
      <c r="O66" s="11">
        <f>-110-N66-M66</f>
        <v>-110</v>
      </c>
      <c r="P66" s="11">
        <v>-17</v>
      </c>
      <c r="Q66" s="27"/>
      <c r="R66" s="11"/>
      <c r="S66" s="11"/>
      <c r="T66" s="11"/>
      <c r="U66" s="33" t="s">
        <v>11</v>
      </c>
      <c r="V66" s="11">
        <f>+Q66+R66+S66+T66</f>
        <v>0</v>
      </c>
      <c r="W66" s="11">
        <f>+M66+N66+O66</f>
        <v>-110</v>
      </c>
      <c r="X66" s="11">
        <f>SUM(M66:P66)</f>
        <v>-127</v>
      </c>
      <c r="Y66" s="11">
        <f>+I66+J66+K66+L66</f>
        <v>35</v>
      </c>
      <c r="Z66" s="11">
        <f>+H66+G66+F66+E66</f>
        <v>-130</v>
      </c>
      <c r="AA66" s="11">
        <v>-190</v>
      </c>
    </row>
    <row r="67" spans="5:27" s="1" customFormat="1" ht="12.75">
      <c r="E67" s="11"/>
      <c r="F67" s="11"/>
      <c r="G67" s="11"/>
      <c r="H67" s="27"/>
      <c r="I67" s="11"/>
      <c r="J67" s="27">
        <f>14-I67</f>
        <v>14</v>
      </c>
      <c r="K67" s="11">
        <v>-4</v>
      </c>
      <c r="L67" s="11"/>
      <c r="M67" s="11">
        <v>0</v>
      </c>
      <c r="N67" s="27">
        <v>0</v>
      </c>
      <c r="O67" s="11">
        <f>-3-N67-M67</f>
        <v>-3</v>
      </c>
      <c r="P67" s="11">
        <v>-1</v>
      </c>
      <c r="Q67" s="27"/>
      <c r="R67" s="11"/>
      <c r="S67" s="11"/>
      <c r="T67" s="11"/>
      <c r="U67" s="33" t="s">
        <v>19</v>
      </c>
      <c r="V67" s="11">
        <f>+Q67+R67+S67+T67</f>
        <v>0</v>
      </c>
      <c r="W67" s="11">
        <f>+M67+N67+O67</f>
        <v>-3</v>
      </c>
      <c r="X67" s="11">
        <f>SUM(M67:P67)</f>
        <v>-4</v>
      </c>
      <c r="Y67" s="11">
        <f>+I67+J67+K67+L67</f>
        <v>10</v>
      </c>
      <c r="Z67" s="11">
        <f>+H67+G67+F67+E67</f>
        <v>0</v>
      </c>
      <c r="AA67" s="11"/>
    </row>
    <row r="68" spans="5:27" s="1" customFormat="1" ht="12.75">
      <c r="E68" s="11"/>
      <c r="F68" s="11"/>
      <c r="G68" s="11"/>
      <c r="H68" s="27"/>
      <c r="I68" s="11"/>
      <c r="J68" s="27"/>
      <c r="K68" s="11"/>
      <c r="L68" s="11"/>
      <c r="M68" s="11">
        <v>0</v>
      </c>
      <c r="N68" s="27">
        <v>0</v>
      </c>
      <c r="O68" s="11">
        <f>-11-N68-M68</f>
        <v>-11</v>
      </c>
      <c r="P68" s="11">
        <v>15</v>
      </c>
      <c r="Q68" s="27"/>
      <c r="R68" s="11"/>
      <c r="S68" s="11"/>
      <c r="T68" s="11"/>
      <c r="U68" s="33" t="s">
        <v>22</v>
      </c>
      <c r="V68" s="11">
        <f>+Q68+R68+S68+T68</f>
        <v>0</v>
      </c>
      <c r="W68" s="11">
        <f>+M68+N68+O68</f>
        <v>-11</v>
      </c>
      <c r="X68" s="11">
        <f>SUM(M68:P68)</f>
        <v>4</v>
      </c>
      <c r="Y68" s="11">
        <f>+I68+J68+K68+L68</f>
        <v>0</v>
      </c>
      <c r="Z68" s="11">
        <f>+H68+G68+F68+E68</f>
        <v>0</v>
      </c>
      <c r="AA68" s="11">
        <v>28</v>
      </c>
    </row>
    <row r="69" spans="5:27" s="1" customFormat="1" ht="12.75">
      <c r="E69" s="11"/>
      <c r="F69" s="11"/>
      <c r="G69" s="11"/>
      <c r="H69" s="27"/>
      <c r="I69" s="11"/>
      <c r="J69" s="27"/>
      <c r="K69" s="11"/>
      <c r="L69" s="11"/>
      <c r="M69" s="11">
        <v>0</v>
      </c>
      <c r="N69" s="27">
        <v>0</v>
      </c>
      <c r="O69" s="11">
        <v>0</v>
      </c>
      <c r="P69" s="11">
        <v>0</v>
      </c>
      <c r="Q69" s="27"/>
      <c r="R69" s="11"/>
      <c r="S69" s="11"/>
      <c r="T69" s="11"/>
      <c r="U69" s="33" t="s">
        <v>25</v>
      </c>
      <c r="V69" s="11">
        <f>+Q69+R69+S69+T69</f>
        <v>0</v>
      </c>
      <c r="W69" s="11">
        <f>+M69+N69+O69</f>
        <v>0</v>
      </c>
      <c r="X69" s="11">
        <f>SUM(M69:P69)</f>
        <v>0</v>
      </c>
      <c r="Y69" s="11">
        <f>+I69+J69+K69+L69</f>
        <v>0</v>
      </c>
      <c r="Z69" s="11">
        <f>+H69+G69+F69+E69</f>
        <v>0</v>
      </c>
      <c r="AA69" s="11"/>
    </row>
    <row r="70" spans="5:27" s="1" customFormat="1" ht="12.75">
      <c r="E70" s="11"/>
      <c r="F70" s="11">
        <v>19</v>
      </c>
      <c r="G70" s="11">
        <f>59-F70</f>
        <v>40</v>
      </c>
      <c r="H70" s="27">
        <f>87-G70-F70</f>
        <v>28</v>
      </c>
      <c r="I70" s="11">
        <v>39</v>
      </c>
      <c r="J70" s="27">
        <f>-14+4</f>
        <v>-10</v>
      </c>
      <c r="K70" s="11">
        <v>4</v>
      </c>
      <c r="L70" s="11">
        <v>18</v>
      </c>
      <c r="M70" s="11">
        <v>0</v>
      </c>
      <c r="N70" s="27">
        <v>0</v>
      </c>
      <c r="O70" s="11">
        <f>-5-N70-M70-4</f>
        <v>-9</v>
      </c>
      <c r="P70" s="11">
        <f>4+1</f>
        <v>5</v>
      </c>
      <c r="Q70" s="27"/>
      <c r="R70" s="11"/>
      <c r="S70" s="11"/>
      <c r="T70" s="11"/>
      <c r="U70" s="33" t="s">
        <v>28</v>
      </c>
      <c r="V70" s="11">
        <f>+Q70+R70+S70+T70</f>
        <v>0</v>
      </c>
      <c r="W70" s="11">
        <f>+M70+N70+O70</f>
        <v>-9</v>
      </c>
      <c r="X70" s="11">
        <f>SUM(M70:P70)</f>
        <v>-4</v>
      </c>
      <c r="Y70" s="11">
        <f>+I70+J70+K70+L70</f>
        <v>51</v>
      </c>
      <c r="Z70" s="11">
        <f>+H70+G70+F70+E70</f>
        <v>87</v>
      </c>
      <c r="AA70" s="11">
        <f>28-2</f>
        <v>26</v>
      </c>
    </row>
    <row r="71" spans="5:27" s="1" customFormat="1" ht="12.75">
      <c r="E71" s="11"/>
      <c r="F71" s="11"/>
      <c r="G71" s="11"/>
      <c r="H71" s="27"/>
      <c r="I71" s="11"/>
      <c r="J71" s="27"/>
      <c r="K71" s="11"/>
      <c r="L71" s="11"/>
      <c r="M71" s="11"/>
      <c r="N71" s="27"/>
      <c r="O71" s="11"/>
      <c r="P71" s="11"/>
      <c r="Q71" s="27"/>
      <c r="R71" s="11"/>
      <c r="S71" s="11"/>
      <c r="T71" s="11"/>
      <c r="U71" s="33"/>
      <c r="V71" s="11"/>
      <c r="W71" s="11"/>
      <c r="X71" s="11"/>
      <c r="Y71" s="41"/>
      <c r="Z71" s="11"/>
      <c r="AA71" s="11"/>
    </row>
    <row r="72" spans="5:27" s="4" customFormat="1" ht="12.75">
      <c r="E72" s="38">
        <f aca="true" t="shared" si="19" ref="E72:N72">SUM(E66:E71)</f>
        <v>-66</v>
      </c>
      <c r="F72" s="38">
        <f t="shared" si="19"/>
        <v>-18</v>
      </c>
      <c r="G72" s="38">
        <f t="shared" si="19"/>
        <v>30</v>
      </c>
      <c r="H72" s="42">
        <f t="shared" si="19"/>
        <v>11</v>
      </c>
      <c r="I72" s="38">
        <f t="shared" si="19"/>
        <v>39</v>
      </c>
      <c r="J72" s="42">
        <f t="shared" si="19"/>
        <v>53</v>
      </c>
      <c r="K72" s="38">
        <f t="shared" si="19"/>
        <v>-8</v>
      </c>
      <c r="L72" s="38">
        <f t="shared" si="19"/>
        <v>12</v>
      </c>
      <c r="M72" s="38">
        <f t="shared" si="19"/>
        <v>0</v>
      </c>
      <c r="N72" s="42">
        <f t="shared" si="19"/>
        <v>0</v>
      </c>
      <c r="O72" s="38">
        <f aca="true" t="shared" si="20" ref="O72:T72">SUM(O66:O71)</f>
        <v>-133</v>
      </c>
      <c r="P72" s="38">
        <f t="shared" si="20"/>
        <v>2</v>
      </c>
      <c r="Q72" s="42">
        <f t="shared" si="20"/>
        <v>0</v>
      </c>
      <c r="R72" s="38">
        <f t="shared" si="20"/>
        <v>0</v>
      </c>
      <c r="S72" s="38">
        <f t="shared" si="20"/>
        <v>0</v>
      </c>
      <c r="T72" s="38">
        <f t="shared" si="20"/>
        <v>0</v>
      </c>
      <c r="U72" s="40" t="s">
        <v>33</v>
      </c>
      <c r="V72" s="38">
        <f aca="true" t="shared" si="21" ref="V72:AA72">SUM(V66:V71)</f>
        <v>0</v>
      </c>
      <c r="W72" s="38">
        <f t="shared" si="21"/>
        <v>-133</v>
      </c>
      <c r="X72" s="38">
        <f t="shared" si="21"/>
        <v>-131</v>
      </c>
      <c r="Y72" s="38">
        <f t="shared" si="21"/>
        <v>96</v>
      </c>
      <c r="Z72" s="38">
        <f t="shared" si="21"/>
        <v>-43</v>
      </c>
      <c r="AA72" s="38">
        <f t="shared" si="21"/>
        <v>-136</v>
      </c>
    </row>
    <row r="73" s="1" customFormat="1" ht="12.75"/>
    <row r="74" s="1" customFormat="1" ht="12.75"/>
    <row r="75" spans="5:27" s="1" customFormat="1" ht="12.75">
      <c r="E75" s="24" t="s">
        <v>0</v>
      </c>
      <c r="F75" s="24" t="s">
        <v>1</v>
      </c>
      <c r="G75" s="24" t="s">
        <v>2</v>
      </c>
      <c r="H75" s="24" t="s">
        <v>3</v>
      </c>
      <c r="I75" s="24" t="s">
        <v>0</v>
      </c>
      <c r="J75" s="24" t="s">
        <v>1</v>
      </c>
      <c r="K75" s="43" t="s">
        <v>2</v>
      </c>
      <c r="L75" s="24" t="s">
        <v>3</v>
      </c>
      <c r="M75" s="24" t="s">
        <v>0</v>
      </c>
      <c r="N75" s="19" t="s">
        <v>1</v>
      </c>
      <c r="O75" s="24" t="s">
        <v>2</v>
      </c>
      <c r="P75" s="24" t="s">
        <v>3</v>
      </c>
      <c r="Q75" s="19" t="s">
        <v>0</v>
      </c>
      <c r="R75" s="24" t="s">
        <v>1</v>
      </c>
      <c r="S75" s="24" t="s">
        <v>2</v>
      </c>
      <c r="T75" s="24" t="s">
        <v>3</v>
      </c>
      <c r="U75" s="45" t="s">
        <v>36</v>
      </c>
      <c r="V75" s="7" t="s">
        <v>5</v>
      </c>
      <c r="W75" s="7" t="s">
        <v>5</v>
      </c>
      <c r="X75" s="7" t="s">
        <v>6</v>
      </c>
      <c r="Y75" s="7" t="s">
        <v>5</v>
      </c>
      <c r="Z75" s="7" t="s">
        <v>6</v>
      </c>
      <c r="AA75" s="7" t="s">
        <v>6</v>
      </c>
    </row>
    <row r="76" spans="5:27" s="1" customFormat="1" ht="12.75">
      <c r="E76" s="8" t="s">
        <v>8</v>
      </c>
      <c r="F76" s="8" t="s">
        <v>8</v>
      </c>
      <c r="G76" s="8" t="s">
        <v>8</v>
      </c>
      <c r="H76" s="8" t="s">
        <v>8</v>
      </c>
      <c r="I76" s="8" t="s">
        <v>9</v>
      </c>
      <c r="J76" s="8" t="s">
        <v>9</v>
      </c>
      <c r="K76" s="44" t="s">
        <v>9</v>
      </c>
      <c r="L76" s="8" t="s">
        <v>9</v>
      </c>
      <c r="M76" s="8" t="s">
        <v>41</v>
      </c>
      <c r="N76" s="21">
        <v>2001</v>
      </c>
      <c r="O76" s="8">
        <v>2001</v>
      </c>
      <c r="P76" s="8">
        <v>2001</v>
      </c>
      <c r="Q76" s="21" t="s">
        <v>48</v>
      </c>
      <c r="R76" s="8">
        <v>2002</v>
      </c>
      <c r="S76" s="8">
        <v>2002</v>
      </c>
      <c r="T76" s="8">
        <v>2002</v>
      </c>
      <c r="U76" s="26" t="s">
        <v>37</v>
      </c>
      <c r="V76" s="8" t="s">
        <v>48</v>
      </c>
      <c r="W76" s="8" t="s">
        <v>41</v>
      </c>
      <c r="X76" s="8" t="s">
        <v>41</v>
      </c>
      <c r="Y76" s="8" t="s">
        <v>9</v>
      </c>
      <c r="Z76" s="8" t="s">
        <v>8</v>
      </c>
      <c r="AA76" s="8" t="s">
        <v>7</v>
      </c>
    </row>
    <row r="77" spans="5:27" s="1" customFormat="1" ht="12.75">
      <c r="E77" s="12"/>
      <c r="F77" s="12"/>
      <c r="G77" s="12"/>
      <c r="H77" s="12"/>
      <c r="I77" s="12"/>
      <c r="J77" s="12"/>
      <c r="K77" s="12"/>
      <c r="L77" s="12"/>
      <c r="M77" s="12"/>
      <c r="N77" s="28"/>
      <c r="O77" s="12"/>
      <c r="P77" s="12"/>
      <c r="Q77" s="28"/>
      <c r="R77" s="12"/>
      <c r="S77" s="12"/>
      <c r="T77" s="12"/>
      <c r="U77" s="42" t="s">
        <v>38</v>
      </c>
      <c r="V77" s="12"/>
      <c r="W77" s="38"/>
      <c r="X77" s="38"/>
      <c r="Y77" s="12"/>
      <c r="Z77" s="12"/>
      <c r="AA77" s="12"/>
    </row>
    <row r="78" spans="5:27" s="1" customFormat="1" ht="12.75">
      <c r="E78" s="11"/>
      <c r="F78" s="11"/>
      <c r="G78" s="11"/>
      <c r="H78" s="11"/>
      <c r="I78" s="11"/>
      <c r="J78" s="11"/>
      <c r="K78" s="11"/>
      <c r="L78" s="11"/>
      <c r="M78" s="11"/>
      <c r="N78" s="27"/>
      <c r="O78" s="11"/>
      <c r="P78" s="11"/>
      <c r="Q78" s="27"/>
      <c r="R78" s="11"/>
      <c r="S78" s="11"/>
      <c r="T78" s="11"/>
      <c r="U78" s="27"/>
      <c r="V78" s="11"/>
      <c r="W78" s="11"/>
      <c r="X78" s="11"/>
      <c r="Y78" s="11"/>
      <c r="Z78" s="11"/>
      <c r="AA78" s="11"/>
    </row>
    <row r="79" spans="5:27" s="1" customFormat="1" ht="12.75">
      <c r="E79" s="11">
        <f aca="true" t="shared" si="22" ref="E79:T79">+E17-E53-E66</f>
        <v>108</v>
      </c>
      <c r="F79" s="11">
        <f t="shared" si="22"/>
        <v>117</v>
      </c>
      <c r="G79" s="11">
        <f t="shared" si="22"/>
        <v>18</v>
      </c>
      <c r="H79" s="11">
        <f t="shared" si="22"/>
        <v>79</v>
      </c>
      <c r="I79" s="11">
        <f t="shared" si="22"/>
        <v>120</v>
      </c>
      <c r="J79" s="11">
        <f t="shared" si="22"/>
        <v>178</v>
      </c>
      <c r="K79" s="11">
        <f t="shared" si="22"/>
        <v>47</v>
      </c>
      <c r="L79" s="11">
        <f t="shared" si="22"/>
        <v>105</v>
      </c>
      <c r="M79" s="11">
        <f t="shared" si="22"/>
        <v>84</v>
      </c>
      <c r="N79" s="27">
        <f t="shared" si="22"/>
        <v>172</v>
      </c>
      <c r="O79" s="11">
        <f t="shared" si="22"/>
        <v>-14</v>
      </c>
      <c r="P79" s="11">
        <f t="shared" si="22"/>
        <v>-3</v>
      </c>
      <c r="Q79" s="27">
        <f t="shared" si="22"/>
        <v>96</v>
      </c>
      <c r="R79" s="11">
        <f t="shared" si="22"/>
        <v>185</v>
      </c>
      <c r="S79" s="11">
        <f t="shared" si="22"/>
        <v>68</v>
      </c>
      <c r="T79" s="11">
        <f t="shared" si="22"/>
        <v>0</v>
      </c>
      <c r="U79" s="27" t="s">
        <v>11</v>
      </c>
      <c r="V79" s="11">
        <f>+Q79+R79+S79+T79</f>
        <v>349</v>
      </c>
      <c r="W79" s="11">
        <f>+M79+N79+O79</f>
        <v>242</v>
      </c>
      <c r="X79" s="11">
        <f>SUM(M79:P79)</f>
        <v>239</v>
      </c>
      <c r="Y79" s="11">
        <f>+Y17-Y53-Y66</f>
        <v>450</v>
      </c>
      <c r="Z79" s="11">
        <f>+Z17-Z53-Z66</f>
        <v>322</v>
      </c>
      <c r="AA79" s="11">
        <f>+AA17-AA53-AA66</f>
        <v>640.1</v>
      </c>
    </row>
    <row r="80" spans="5:27" s="1" customFormat="1" ht="12.75">
      <c r="E80" s="11">
        <f aca="true" t="shared" si="23" ref="E80:T80">+E26-E54-E67</f>
        <v>2</v>
      </c>
      <c r="F80" s="11">
        <f t="shared" si="23"/>
        <v>-4</v>
      </c>
      <c r="G80" s="11">
        <f t="shared" si="23"/>
        <v>1</v>
      </c>
      <c r="H80" s="11">
        <f t="shared" si="23"/>
        <v>9</v>
      </c>
      <c r="I80" s="11">
        <f t="shared" si="23"/>
        <v>0</v>
      </c>
      <c r="J80" s="11">
        <f t="shared" si="23"/>
        <v>1</v>
      </c>
      <c r="K80" s="11">
        <f t="shared" si="23"/>
        <v>1</v>
      </c>
      <c r="L80" s="11">
        <f t="shared" si="23"/>
        <v>16</v>
      </c>
      <c r="M80" s="11">
        <f t="shared" si="23"/>
        <v>1</v>
      </c>
      <c r="N80" s="27">
        <f t="shared" si="23"/>
        <v>0</v>
      </c>
      <c r="O80" s="11">
        <f t="shared" si="23"/>
        <v>3</v>
      </c>
      <c r="P80" s="11">
        <f t="shared" si="23"/>
        <v>15</v>
      </c>
      <c r="Q80" s="27">
        <f t="shared" si="23"/>
        <v>5</v>
      </c>
      <c r="R80" s="11">
        <f t="shared" si="23"/>
        <v>4</v>
      </c>
      <c r="S80" s="11">
        <f t="shared" si="23"/>
        <v>5</v>
      </c>
      <c r="T80" s="11">
        <f t="shared" si="23"/>
        <v>0</v>
      </c>
      <c r="U80" s="27" t="s">
        <v>19</v>
      </c>
      <c r="V80" s="11">
        <f>+Q80+R80+S80+T80</f>
        <v>14</v>
      </c>
      <c r="W80" s="11">
        <f>+M80+N80+O80</f>
        <v>4</v>
      </c>
      <c r="X80" s="11">
        <f>SUM(M80:P80)</f>
        <v>19</v>
      </c>
      <c r="Y80" s="11">
        <f>+Y26-Y54-Y67</f>
        <v>18</v>
      </c>
      <c r="Z80" s="11">
        <f>+Z26-Z54-Z67</f>
        <v>8</v>
      </c>
      <c r="AA80" s="11">
        <f>+AA26-AA54-AA67</f>
        <v>7.8999999999999995</v>
      </c>
    </row>
    <row r="81" spans="5:27" s="1" customFormat="1" ht="12.75">
      <c r="E81" s="11">
        <f aca="true" t="shared" si="24" ref="E81:T81">+E31-E55-E68</f>
        <v>12</v>
      </c>
      <c r="F81" s="11">
        <f t="shared" si="24"/>
        <v>-2</v>
      </c>
      <c r="G81" s="11">
        <f t="shared" si="24"/>
        <v>7</v>
      </c>
      <c r="H81" s="11">
        <f t="shared" si="24"/>
        <v>15</v>
      </c>
      <c r="I81" s="11">
        <f t="shared" si="24"/>
        <v>16.9</v>
      </c>
      <c r="J81" s="11">
        <f t="shared" si="24"/>
        <v>-1</v>
      </c>
      <c r="K81" s="11">
        <f t="shared" si="24"/>
        <v>5.1</v>
      </c>
      <c r="L81" s="11">
        <f t="shared" si="24"/>
        <v>57</v>
      </c>
      <c r="M81" s="11">
        <f t="shared" si="24"/>
        <v>12</v>
      </c>
      <c r="N81" s="27">
        <f t="shared" si="24"/>
        <v>11</v>
      </c>
      <c r="O81" s="11">
        <f t="shared" si="24"/>
        <v>-2</v>
      </c>
      <c r="P81" s="11">
        <f t="shared" si="24"/>
        <v>31</v>
      </c>
      <c r="Q81" s="27">
        <f t="shared" si="24"/>
        <v>9</v>
      </c>
      <c r="R81" s="11">
        <f t="shared" si="24"/>
        <v>-1</v>
      </c>
      <c r="S81" s="11">
        <f t="shared" si="24"/>
        <v>-2</v>
      </c>
      <c r="T81" s="11">
        <f t="shared" si="24"/>
        <v>0</v>
      </c>
      <c r="U81" s="27" t="s">
        <v>22</v>
      </c>
      <c r="V81" s="11">
        <f>+Q81+R81+S81+T81</f>
        <v>6</v>
      </c>
      <c r="W81" s="11">
        <f>+M81+N81+O81</f>
        <v>21</v>
      </c>
      <c r="X81" s="11">
        <f>SUM(M81:P81)</f>
        <v>52</v>
      </c>
      <c r="Y81" s="11">
        <f>+Y31-Y55-Y68</f>
        <v>78</v>
      </c>
      <c r="Z81" s="11">
        <f>+Z31-Z55-Z68</f>
        <v>32</v>
      </c>
      <c r="AA81" s="11">
        <f>+AA31-AA55-AA68</f>
        <v>15</v>
      </c>
    </row>
    <row r="82" spans="5:27" ht="12.75">
      <c r="E82" s="11">
        <f aca="true" t="shared" si="25" ref="E82:T82">+E36-E56-E69</f>
        <v>-11</v>
      </c>
      <c r="F82" s="11">
        <f t="shared" si="25"/>
        <v>-6</v>
      </c>
      <c r="G82" s="11">
        <f t="shared" si="25"/>
        <v>-10</v>
      </c>
      <c r="H82" s="11">
        <f t="shared" si="25"/>
        <v>-5</v>
      </c>
      <c r="I82" s="11">
        <f t="shared" si="25"/>
        <v>-8</v>
      </c>
      <c r="J82" s="11">
        <f t="shared" si="25"/>
        <v>-1</v>
      </c>
      <c r="K82" s="11">
        <f t="shared" si="25"/>
        <v>-5</v>
      </c>
      <c r="L82" s="11">
        <f t="shared" si="25"/>
        <v>-6</v>
      </c>
      <c r="M82" s="11">
        <f t="shared" si="25"/>
        <v>-1</v>
      </c>
      <c r="N82" s="27">
        <f t="shared" si="25"/>
        <v>2</v>
      </c>
      <c r="O82" s="11">
        <f t="shared" si="25"/>
        <v>-1</v>
      </c>
      <c r="P82" s="11">
        <f t="shared" si="25"/>
        <v>0</v>
      </c>
      <c r="Q82" s="27">
        <f t="shared" si="25"/>
        <v>0</v>
      </c>
      <c r="R82" s="11">
        <f t="shared" si="25"/>
        <v>6</v>
      </c>
      <c r="S82" s="11">
        <f t="shared" si="25"/>
        <v>2</v>
      </c>
      <c r="T82" s="11">
        <f t="shared" si="25"/>
        <v>0</v>
      </c>
      <c r="U82" s="27" t="s">
        <v>25</v>
      </c>
      <c r="V82" s="11">
        <f>+Q82+R82+S82+T82</f>
        <v>8</v>
      </c>
      <c r="W82" s="11">
        <f>+M82+N82+O82</f>
        <v>0</v>
      </c>
      <c r="X82" s="11">
        <f>SUM(M82:P82)</f>
        <v>0</v>
      </c>
      <c r="Y82" s="11">
        <f>+Y36-Y56-Y69</f>
        <v>-20</v>
      </c>
      <c r="Z82" s="11">
        <f>+Z36-Z56-Z69</f>
        <v>-32</v>
      </c>
      <c r="AA82" s="11">
        <f>+AA36-AA56-AA69</f>
        <v>-30.90000000000001</v>
      </c>
    </row>
    <row r="83" spans="5:27" ht="12.75">
      <c r="E83" s="11">
        <f aca="true" t="shared" si="26" ref="E83:T83">+E41-E57-E70</f>
        <v>-3</v>
      </c>
      <c r="F83" s="11">
        <f t="shared" si="26"/>
        <v>-7</v>
      </c>
      <c r="G83" s="11">
        <f t="shared" si="26"/>
        <v>11</v>
      </c>
      <c r="H83" s="11">
        <f t="shared" si="26"/>
        <v>-33</v>
      </c>
      <c r="I83" s="11">
        <f t="shared" si="26"/>
        <v>-11.600000000000001</v>
      </c>
      <c r="J83" s="11">
        <f t="shared" si="26"/>
        <v>8.8</v>
      </c>
      <c r="K83" s="11">
        <f t="shared" si="26"/>
        <v>8</v>
      </c>
      <c r="L83" s="11">
        <f t="shared" si="26"/>
        <v>-18</v>
      </c>
      <c r="M83" s="11">
        <f t="shared" si="26"/>
        <v>-6</v>
      </c>
      <c r="N83" s="27">
        <f t="shared" si="26"/>
        <v>-5</v>
      </c>
      <c r="O83" s="11">
        <f t="shared" si="26"/>
        <v>-1</v>
      </c>
      <c r="P83" s="11">
        <f t="shared" si="26"/>
        <v>-26</v>
      </c>
      <c r="Q83" s="27">
        <f t="shared" si="26"/>
        <v>19</v>
      </c>
      <c r="R83" s="11">
        <f t="shared" si="26"/>
        <v>9</v>
      </c>
      <c r="S83" s="11">
        <f t="shared" si="26"/>
        <v>8</v>
      </c>
      <c r="T83" s="11">
        <f t="shared" si="26"/>
        <v>0</v>
      </c>
      <c r="U83" s="27" t="s">
        <v>28</v>
      </c>
      <c r="V83" s="11">
        <f>+Q83+R83+S83+T83</f>
        <v>36</v>
      </c>
      <c r="W83" s="11">
        <f>+M83+N83+O83</f>
        <v>-12</v>
      </c>
      <c r="X83" s="11">
        <f>SUM(M83:P83)</f>
        <v>-38</v>
      </c>
      <c r="Y83" s="11">
        <f>+Y41-Y57-Y70</f>
        <v>-12.799999999999997</v>
      </c>
      <c r="Z83" s="11">
        <f>+Z41-Z57-Z70</f>
        <v>-32</v>
      </c>
      <c r="AA83" s="11">
        <f>+AA41-AA57-AA70</f>
        <v>-123.49999999999999</v>
      </c>
    </row>
    <row r="84" spans="5:27" ht="12.75">
      <c r="E84" s="11"/>
      <c r="F84" s="11"/>
      <c r="G84" s="11"/>
      <c r="H84" s="41"/>
      <c r="I84" s="9"/>
      <c r="J84" s="9"/>
      <c r="K84" s="9"/>
      <c r="L84" s="9"/>
      <c r="M84" s="9"/>
      <c r="N84" s="25"/>
      <c r="O84" s="9"/>
      <c r="P84" s="9"/>
      <c r="Q84" s="25"/>
      <c r="R84" s="9"/>
      <c r="S84" s="9">
        <v>0</v>
      </c>
      <c r="T84" s="9"/>
      <c r="U84" s="27"/>
      <c r="V84" s="9"/>
      <c r="W84" s="11"/>
      <c r="X84" s="11"/>
      <c r="Y84" s="9"/>
      <c r="Z84" s="41"/>
      <c r="AA84" s="41"/>
    </row>
    <row r="85" spans="5:27" s="2" customFormat="1" ht="12.75">
      <c r="E85" s="38">
        <f aca="true" t="shared" si="27" ref="E85:N85">SUM(E79:E84)</f>
        <v>108</v>
      </c>
      <c r="F85" s="38">
        <f t="shared" si="27"/>
        <v>98</v>
      </c>
      <c r="G85" s="38">
        <f t="shared" si="27"/>
        <v>27</v>
      </c>
      <c r="H85" s="38">
        <f t="shared" si="27"/>
        <v>65</v>
      </c>
      <c r="I85" s="38">
        <f t="shared" si="27"/>
        <v>117.30000000000001</v>
      </c>
      <c r="J85" s="38">
        <f t="shared" si="27"/>
        <v>185.8</v>
      </c>
      <c r="K85" s="38">
        <f t="shared" si="27"/>
        <v>56.1</v>
      </c>
      <c r="L85" s="38">
        <f t="shared" si="27"/>
        <v>154</v>
      </c>
      <c r="M85" s="38">
        <f t="shared" si="27"/>
        <v>90</v>
      </c>
      <c r="N85" s="42">
        <f t="shared" si="27"/>
        <v>180</v>
      </c>
      <c r="O85" s="38">
        <f aca="true" t="shared" si="28" ref="O85:T85">SUM(O79:O84)</f>
        <v>-15</v>
      </c>
      <c r="P85" s="38">
        <f t="shared" si="28"/>
        <v>17</v>
      </c>
      <c r="Q85" s="42">
        <f t="shared" si="28"/>
        <v>129</v>
      </c>
      <c r="R85" s="38">
        <f t="shared" si="28"/>
        <v>203</v>
      </c>
      <c r="S85" s="38">
        <f t="shared" si="28"/>
        <v>81</v>
      </c>
      <c r="T85" s="38">
        <f t="shared" si="28"/>
        <v>0</v>
      </c>
      <c r="U85" s="42" t="s">
        <v>33</v>
      </c>
      <c r="V85" s="38">
        <f aca="true" t="shared" si="29" ref="V85:AA85">SUM(V79:V84)</f>
        <v>413</v>
      </c>
      <c r="W85" s="38">
        <f t="shared" si="29"/>
        <v>255</v>
      </c>
      <c r="X85" s="38">
        <f t="shared" si="29"/>
        <v>272</v>
      </c>
      <c r="Y85" s="38">
        <f t="shared" si="29"/>
        <v>513.2</v>
      </c>
      <c r="Z85" s="38">
        <f t="shared" si="29"/>
        <v>298</v>
      </c>
      <c r="AA85" s="38">
        <f t="shared" si="29"/>
        <v>508.6</v>
      </c>
    </row>
    <row r="88" ht="12.75">
      <c r="A88" s="1"/>
    </row>
  </sheetData>
  <printOptions/>
  <pageMargins left="0.23" right="0.23" top="0.7" bottom="0.28" header="0.5" footer="0.5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AA56"/>
  <sheetViews>
    <sheetView tabSelected="1" zoomScale="75" zoomScaleNormal="75" workbookViewId="0" topLeftCell="A48">
      <selection activeCell="A67" sqref="A67"/>
    </sheetView>
  </sheetViews>
  <sheetFormatPr defaultColWidth="9.140625" defaultRowHeight="12.75" outlineLevelCol="1"/>
  <cols>
    <col min="1" max="17" width="13.00390625" style="6" customWidth="1"/>
    <col min="18" max="18" width="13.140625" style="6" customWidth="1"/>
    <col min="19" max="20" width="13.140625" style="6" customWidth="1" outlineLevel="1"/>
    <col min="21" max="21" width="52.28125" style="6" customWidth="1"/>
    <col min="22" max="27" width="13.140625" style="6" customWidth="1"/>
    <col min="28" max="16384" width="11.421875" style="6" customWidth="1"/>
  </cols>
  <sheetData>
    <row r="8" s="2" customFormat="1" ht="12.75"/>
    <row r="9" s="2" customFormat="1" ht="12.75"/>
    <row r="10" s="2" customFormat="1" ht="12.75"/>
    <row r="11" spans="1:27" s="3" customFormat="1" ht="12.75">
      <c r="A11" s="24" t="s">
        <v>0</v>
      </c>
      <c r="B11" s="24" t="s">
        <v>1</v>
      </c>
      <c r="C11" s="24" t="s">
        <v>2</v>
      </c>
      <c r="D11" s="24" t="s">
        <v>3</v>
      </c>
      <c r="E11" s="18" t="s">
        <v>0</v>
      </c>
      <c r="F11" s="24" t="s">
        <v>1</v>
      </c>
      <c r="G11" s="24" t="s">
        <v>2</v>
      </c>
      <c r="H11" s="24" t="s">
        <v>3</v>
      </c>
      <c r="I11" s="19" t="s">
        <v>0</v>
      </c>
      <c r="J11" s="24" t="s">
        <v>1</v>
      </c>
      <c r="K11" s="24" t="s">
        <v>2</v>
      </c>
      <c r="L11" s="24" t="s">
        <v>3</v>
      </c>
      <c r="M11" s="24" t="s">
        <v>0</v>
      </c>
      <c r="N11" s="24" t="s">
        <v>1</v>
      </c>
      <c r="O11" s="24" t="s">
        <v>2</v>
      </c>
      <c r="P11" s="19" t="s">
        <v>3</v>
      </c>
      <c r="Q11" s="24" t="s">
        <v>0</v>
      </c>
      <c r="R11" s="24" t="s">
        <v>1</v>
      </c>
      <c r="S11" s="24" t="s">
        <v>2</v>
      </c>
      <c r="T11" s="19" t="s">
        <v>3</v>
      </c>
      <c r="U11" s="15" t="s">
        <v>4</v>
      </c>
      <c r="V11" s="7" t="s">
        <v>5</v>
      </c>
      <c r="W11" s="7" t="s">
        <v>5</v>
      </c>
      <c r="X11" s="7" t="s">
        <v>6</v>
      </c>
      <c r="Y11" s="7" t="s">
        <v>6</v>
      </c>
      <c r="Z11" s="7" t="s">
        <v>6</v>
      </c>
      <c r="AA11" s="7" t="s">
        <v>6</v>
      </c>
    </row>
    <row r="12" spans="1:27" s="3" customFormat="1" ht="12.75">
      <c r="A12" s="8" t="s">
        <v>7</v>
      </c>
      <c r="B12" s="8" t="s">
        <v>7</v>
      </c>
      <c r="C12" s="8" t="s">
        <v>7</v>
      </c>
      <c r="D12" s="8" t="s">
        <v>7</v>
      </c>
      <c r="E12" s="20" t="s">
        <v>8</v>
      </c>
      <c r="F12" s="8" t="s">
        <v>8</v>
      </c>
      <c r="G12" s="8" t="s">
        <v>8</v>
      </c>
      <c r="H12" s="8" t="s">
        <v>8</v>
      </c>
      <c r="I12" s="21" t="s">
        <v>9</v>
      </c>
      <c r="J12" s="8" t="s">
        <v>9</v>
      </c>
      <c r="K12" s="8" t="s">
        <v>9</v>
      </c>
      <c r="L12" s="8" t="s">
        <v>9</v>
      </c>
      <c r="M12" s="8" t="s">
        <v>41</v>
      </c>
      <c r="N12" s="8" t="s">
        <v>41</v>
      </c>
      <c r="O12" s="8" t="s">
        <v>41</v>
      </c>
      <c r="P12" s="21" t="s">
        <v>41</v>
      </c>
      <c r="Q12" s="8" t="s">
        <v>48</v>
      </c>
      <c r="R12" s="8" t="s">
        <v>48</v>
      </c>
      <c r="S12" s="8" t="s">
        <v>48</v>
      </c>
      <c r="T12" s="21" t="s">
        <v>48</v>
      </c>
      <c r="U12" s="16" t="s">
        <v>10</v>
      </c>
      <c r="V12" s="8" t="s">
        <v>48</v>
      </c>
      <c r="W12" s="8" t="s">
        <v>41</v>
      </c>
      <c r="X12" s="8" t="s">
        <v>41</v>
      </c>
      <c r="Y12" s="8" t="s">
        <v>9</v>
      </c>
      <c r="Z12" s="8" t="s">
        <v>8</v>
      </c>
      <c r="AA12" s="8" t="s">
        <v>7</v>
      </c>
    </row>
    <row r="13" spans="1:27" s="3" customFormat="1" ht="12.75">
      <c r="A13" s="14"/>
      <c r="B13" s="14"/>
      <c r="C13" s="14"/>
      <c r="D13" s="14"/>
      <c r="E13" s="22"/>
      <c r="F13" s="14"/>
      <c r="G13" s="14"/>
      <c r="H13" s="14"/>
      <c r="I13" s="23"/>
      <c r="J13" s="14"/>
      <c r="K13" s="14"/>
      <c r="L13" s="14"/>
      <c r="M13" s="14"/>
      <c r="N13" s="14"/>
      <c r="O13" s="14"/>
      <c r="P13" s="23"/>
      <c r="Q13" s="14"/>
      <c r="R13" s="14"/>
      <c r="S13" s="14"/>
      <c r="T13" s="23"/>
      <c r="U13" s="13" t="s">
        <v>53</v>
      </c>
      <c r="V13" s="13"/>
      <c r="W13" s="13"/>
      <c r="X13" s="13"/>
      <c r="Y13" s="14"/>
      <c r="Z13" s="14"/>
      <c r="AA13" s="14"/>
    </row>
    <row r="14" spans="1:27" ht="12.75">
      <c r="A14" s="9"/>
      <c r="B14" s="9"/>
      <c r="C14" s="9"/>
      <c r="D14" s="9"/>
      <c r="E14" s="31"/>
      <c r="F14" s="9"/>
      <c r="G14" s="9"/>
      <c r="H14" s="9"/>
      <c r="I14" s="25"/>
      <c r="J14" s="9"/>
      <c r="K14" s="9"/>
      <c r="L14" s="9"/>
      <c r="M14" s="9"/>
      <c r="N14" s="9"/>
      <c r="O14" s="9"/>
      <c r="P14" s="25"/>
      <c r="Q14" s="9"/>
      <c r="R14" s="9"/>
      <c r="S14" s="9"/>
      <c r="T14" s="25"/>
      <c r="U14" s="17"/>
      <c r="V14" s="9"/>
      <c r="W14" s="9"/>
      <c r="X14" s="9"/>
      <c r="Y14" s="9"/>
      <c r="Z14" s="9"/>
      <c r="AA14" s="9"/>
    </row>
    <row r="15" spans="1:27" s="4" customFormat="1" ht="12.75">
      <c r="A15" s="10">
        <f aca="true" t="shared" si="0" ref="A15:P15">+A17+A27+A33+A39+A44+A51</f>
        <v>1505.4</v>
      </c>
      <c r="B15" s="10">
        <f t="shared" si="0"/>
        <v>1518.6000000000004</v>
      </c>
      <c r="C15" s="10">
        <f t="shared" si="0"/>
        <v>1682.3999999999999</v>
      </c>
      <c r="D15" s="10">
        <f t="shared" si="0"/>
        <v>1926.4000000000005</v>
      </c>
      <c r="E15" s="32">
        <f t="shared" si="0"/>
        <v>1832</v>
      </c>
      <c r="F15" s="10">
        <f t="shared" si="0"/>
        <v>1803</v>
      </c>
      <c r="G15" s="10">
        <f t="shared" si="0"/>
        <v>1730</v>
      </c>
      <c r="H15" s="10">
        <f t="shared" si="0"/>
        <v>2037</v>
      </c>
      <c r="I15" s="26">
        <f t="shared" si="0"/>
        <v>1924</v>
      </c>
      <c r="J15" s="10">
        <f t="shared" si="0"/>
        <v>2064</v>
      </c>
      <c r="K15" s="10">
        <f t="shared" si="0"/>
        <v>1954</v>
      </c>
      <c r="L15" s="10">
        <f t="shared" si="0"/>
        <v>2328</v>
      </c>
      <c r="M15" s="10">
        <f t="shared" si="0"/>
        <v>2033</v>
      </c>
      <c r="N15" s="10">
        <f t="shared" si="0"/>
        <v>2011</v>
      </c>
      <c r="O15" s="10">
        <f t="shared" si="0"/>
        <v>1851</v>
      </c>
      <c r="P15" s="26">
        <f t="shared" si="0"/>
        <v>2077</v>
      </c>
      <c r="Q15" s="10">
        <f>+Q17+Q27+Q33+Q39+Q44+Q51</f>
        <v>1989</v>
      </c>
      <c r="R15" s="10">
        <f>+R17+R27+R33+R39+R44+R51</f>
        <v>1965</v>
      </c>
      <c r="S15" s="10">
        <f>+S17+S27+S33+S39+S44+S51</f>
        <v>1863</v>
      </c>
      <c r="T15" s="26">
        <f>+T17+T27+T33+T39+T44+T51</f>
        <v>0</v>
      </c>
      <c r="U15" s="10" t="s">
        <v>10</v>
      </c>
      <c r="V15" s="10">
        <f aca="true" t="shared" si="1" ref="V15:AA15">+V17+V27+V33+V39+V44+V51</f>
        <v>5817</v>
      </c>
      <c r="W15" s="10">
        <f t="shared" si="1"/>
        <v>5895</v>
      </c>
      <c r="X15" s="10">
        <f t="shared" si="1"/>
        <v>7972</v>
      </c>
      <c r="Y15" s="10">
        <f t="shared" si="1"/>
        <v>8270</v>
      </c>
      <c r="Z15" s="10">
        <f t="shared" si="1"/>
        <v>7402</v>
      </c>
      <c r="AA15" s="10">
        <f t="shared" si="1"/>
        <v>6558.799999999999</v>
      </c>
    </row>
    <row r="16" spans="1:27" s="1" customFormat="1" ht="12.75">
      <c r="A16" s="11"/>
      <c r="B16" s="11"/>
      <c r="C16" s="11"/>
      <c r="D16" s="11"/>
      <c r="E16" s="33"/>
      <c r="F16" s="11"/>
      <c r="G16" s="11"/>
      <c r="H16" s="11"/>
      <c r="I16" s="27"/>
      <c r="J16" s="11"/>
      <c r="K16" s="11"/>
      <c r="L16" s="11"/>
      <c r="M16" s="11"/>
      <c r="N16" s="11"/>
      <c r="O16" s="11"/>
      <c r="P16" s="27"/>
      <c r="Q16" s="11"/>
      <c r="R16" s="11"/>
      <c r="S16" s="11"/>
      <c r="T16" s="27"/>
      <c r="U16" s="11"/>
      <c r="V16" s="11"/>
      <c r="W16" s="11"/>
      <c r="X16" s="11"/>
      <c r="Y16" s="11"/>
      <c r="Z16" s="11"/>
      <c r="AA16" s="11"/>
    </row>
    <row r="17" spans="1:27" s="4" customFormat="1" ht="12.75">
      <c r="A17" s="10">
        <f>SUM(A18:A24)</f>
        <v>1261.6</v>
      </c>
      <c r="B17" s="10">
        <f>SUM(B18:B24)</f>
        <v>1311.9000000000003</v>
      </c>
      <c r="C17" s="10">
        <f>SUM(C18:C24)</f>
        <v>1431.8999999999999</v>
      </c>
      <c r="D17" s="10">
        <f>SUM(D18:D24)</f>
        <v>1574.6000000000001</v>
      </c>
      <c r="E17" s="32">
        <f aca="true" t="shared" si="2" ref="E17:K17">SUM(E18:E25)</f>
        <v>1492</v>
      </c>
      <c r="F17" s="10">
        <f t="shared" si="2"/>
        <v>1536</v>
      </c>
      <c r="G17" s="10">
        <f t="shared" si="2"/>
        <v>1434</v>
      </c>
      <c r="H17" s="10">
        <f t="shared" si="2"/>
        <v>1622</v>
      </c>
      <c r="I17" s="26">
        <f t="shared" si="2"/>
        <v>1578</v>
      </c>
      <c r="J17" s="10">
        <f t="shared" si="2"/>
        <v>1704</v>
      </c>
      <c r="K17" s="10">
        <f t="shared" si="2"/>
        <v>1596</v>
      </c>
      <c r="L17" s="10">
        <f aca="true" t="shared" si="3" ref="L17:T17">SUM(L18:L25)</f>
        <v>1759</v>
      </c>
      <c r="M17" s="10">
        <f t="shared" si="3"/>
        <v>1613</v>
      </c>
      <c r="N17" s="10">
        <f t="shared" si="3"/>
        <v>1636</v>
      </c>
      <c r="O17" s="10">
        <f t="shared" si="3"/>
        <v>1491</v>
      </c>
      <c r="P17" s="26">
        <f t="shared" si="3"/>
        <v>1523</v>
      </c>
      <c r="Q17" s="10">
        <f t="shared" si="3"/>
        <v>1527</v>
      </c>
      <c r="R17" s="10">
        <f t="shared" si="3"/>
        <v>1534</v>
      </c>
      <c r="S17" s="10">
        <f t="shared" si="3"/>
        <v>1472</v>
      </c>
      <c r="T17" s="26">
        <f t="shared" si="3"/>
        <v>0</v>
      </c>
      <c r="U17" s="10" t="s">
        <v>11</v>
      </c>
      <c r="V17" s="10">
        <f>+Q17+R17+S17+T17</f>
        <v>4533</v>
      </c>
      <c r="W17" s="10">
        <f>+M17+N17+O17</f>
        <v>4740</v>
      </c>
      <c r="X17" s="10">
        <f aca="true" t="shared" si="4" ref="X17:X25">+SUM(M17:P17)</f>
        <v>6263</v>
      </c>
      <c r="Y17" s="10">
        <f>+I17+J17+K17+L17</f>
        <v>6637</v>
      </c>
      <c r="Z17" s="10">
        <f aca="true" t="shared" si="5" ref="Z17:Z24">+H17+G17+F17+E17</f>
        <v>6084</v>
      </c>
      <c r="AA17" s="10">
        <f aca="true" t="shared" si="6" ref="AA17:AA24">+D17+C17+B17+A17</f>
        <v>5580</v>
      </c>
    </row>
    <row r="18" spans="1:27" s="1" customFormat="1" ht="12.75">
      <c r="A18" s="11">
        <v>557.1</v>
      </c>
      <c r="B18" s="11">
        <v>560.2</v>
      </c>
      <c r="C18" s="11">
        <v>478.3</v>
      </c>
      <c r="D18" s="11">
        <v>538.2</v>
      </c>
      <c r="E18" s="33">
        <v>533</v>
      </c>
      <c r="F18" s="11">
        <f>1069-E18</f>
        <v>536</v>
      </c>
      <c r="G18" s="11">
        <f>1539-F18-E18</f>
        <v>470</v>
      </c>
      <c r="H18" s="11">
        <f>2073-G18-F18-E18</f>
        <v>534</v>
      </c>
      <c r="I18" s="27">
        <v>574</v>
      </c>
      <c r="J18" s="11">
        <f>1146-I18</f>
        <v>572</v>
      </c>
      <c r="K18" s="11">
        <f>1679-J18-I18</f>
        <v>533</v>
      </c>
      <c r="L18" s="11">
        <f>2276-K18-J18-I18</f>
        <v>597</v>
      </c>
      <c r="M18" s="11">
        <v>595</v>
      </c>
      <c r="N18" s="11">
        <f>1196-M18</f>
        <v>601</v>
      </c>
      <c r="O18" s="11">
        <f>1682-N18-M18</f>
        <v>486</v>
      </c>
      <c r="P18" s="27">
        <f>2184-SUM(M18:O18)</f>
        <v>502</v>
      </c>
      <c r="Q18" s="11">
        <v>535</v>
      </c>
      <c r="R18" s="11">
        <v>559</v>
      </c>
      <c r="S18" s="11">
        <f>1583-R18-Q18</f>
        <v>489</v>
      </c>
      <c r="T18" s="27"/>
      <c r="U18" s="11" t="s">
        <v>42</v>
      </c>
      <c r="V18" s="11">
        <f aca="true" t="shared" si="7" ref="V18:V53">+Q18+R18+S18+T18</f>
        <v>1583</v>
      </c>
      <c r="W18" s="11">
        <f aca="true" t="shared" si="8" ref="W18:W25">+M18+N18+O18</f>
        <v>1682</v>
      </c>
      <c r="X18" s="11">
        <f t="shared" si="4"/>
        <v>2184</v>
      </c>
      <c r="Y18" s="11">
        <f>+I18+J18+K18+L18</f>
        <v>2276</v>
      </c>
      <c r="Z18" s="11">
        <f t="shared" si="5"/>
        <v>2073</v>
      </c>
      <c r="AA18" s="11">
        <f t="shared" si="6"/>
        <v>2133.8</v>
      </c>
    </row>
    <row r="19" spans="1:27" s="1" customFormat="1" ht="12.75">
      <c r="A19" s="11">
        <v>344.7</v>
      </c>
      <c r="B19" s="11">
        <v>336.6</v>
      </c>
      <c r="C19" s="11">
        <v>354.5</v>
      </c>
      <c r="D19" s="11">
        <v>360</v>
      </c>
      <c r="E19" s="33">
        <v>345</v>
      </c>
      <c r="F19" s="11">
        <f>679-E19</f>
        <v>334</v>
      </c>
      <c r="G19" s="11">
        <f>1089-F19-E19</f>
        <v>410</v>
      </c>
      <c r="H19" s="11">
        <f>1489-G19-F19-E19</f>
        <v>400</v>
      </c>
      <c r="I19" s="27">
        <v>375</v>
      </c>
      <c r="J19" s="11">
        <f>747-I19</f>
        <v>372</v>
      </c>
      <c r="K19" s="11">
        <f>1156-J19-I19</f>
        <v>409</v>
      </c>
      <c r="L19" s="11">
        <f>1580-K19-J19-I19</f>
        <v>424</v>
      </c>
      <c r="M19" s="11">
        <v>407</v>
      </c>
      <c r="N19" s="11">
        <f>806-M19</f>
        <v>399</v>
      </c>
      <c r="O19" s="11">
        <f>1237-N19-M19</f>
        <v>431</v>
      </c>
      <c r="P19" s="27">
        <f>1640-SUM(M19:O19)</f>
        <v>403</v>
      </c>
      <c r="Q19" s="11">
        <v>397</v>
      </c>
      <c r="R19" s="11">
        <v>369</v>
      </c>
      <c r="S19" s="11">
        <f>1191-R19-Q19</f>
        <v>425</v>
      </c>
      <c r="T19" s="27"/>
      <c r="U19" s="11" t="s">
        <v>43</v>
      </c>
      <c r="V19" s="11">
        <f t="shared" si="7"/>
        <v>1191</v>
      </c>
      <c r="W19" s="11">
        <f t="shared" si="8"/>
        <v>1237</v>
      </c>
      <c r="X19" s="11">
        <f t="shared" si="4"/>
        <v>1640</v>
      </c>
      <c r="Y19" s="11">
        <f aca="true" t="shared" si="9" ref="Y19:Y24">+I19+J19+K19+L19</f>
        <v>1580</v>
      </c>
      <c r="Z19" s="11">
        <f t="shared" si="5"/>
        <v>1489</v>
      </c>
      <c r="AA19" s="11">
        <f t="shared" si="6"/>
        <v>1395.8</v>
      </c>
    </row>
    <row r="20" spans="1:27" s="1" customFormat="1" ht="12.75">
      <c r="A20" s="11">
        <v>334.7</v>
      </c>
      <c r="B20" s="11">
        <v>396.5</v>
      </c>
      <c r="C20" s="11">
        <v>377.9</v>
      </c>
      <c r="D20" s="11">
        <v>378.5</v>
      </c>
      <c r="E20" s="33">
        <v>354</v>
      </c>
      <c r="F20" s="11">
        <f>738-E20</f>
        <v>384</v>
      </c>
      <c r="G20" s="11">
        <f>1116-F20-E20</f>
        <v>378</v>
      </c>
      <c r="H20" s="11">
        <f>1519-G20-F20-E20</f>
        <v>403</v>
      </c>
      <c r="I20" s="27">
        <v>359</v>
      </c>
      <c r="J20" s="11">
        <f>801-I20</f>
        <v>442</v>
      </c>
      <c r="K20" s="11">
        <f>1213-J20-I20</f>
        <v>412</v>
      </c>
      <c r="L20" s="11">
        <f>1619-K20-J20-I20</f>
        <v>406</v>
      </c>
      <c r="M20" s="11">
        <v>365</v>
      </c>
      <c r="N20" s="11">
        <f>735-M20</f>
        <v>370</v>
      </c>
      <c r="O20" s="11">
        <f>1103-N20-M20</f>
        <v>368</v>
      </c>
      <c r="P20" s="27">
        <f>1494-SUM(M20:O20)</f>
        <v>391</v>
      </c>
      <c r="Q20" s="11">
        <v>369</v>
      </c>
      <c r="R20" s="11">
        <f>750-Q20</f>
        <v>381</v>
      </c>
      <c r="S20" s="11">
        <f>1120-R20-Q20</f>
        <v>370</v>
      </c>
      <c r="T20" s="27"/>
      <c r="U20" s="11" t="s">
        <v>12</v>
      </c>
      <c r="V20" s="11">
        <f t="shared" si="7"/>
        <v>1120</v>
      </c>
      <c r="W20" s="11">
        <f t="shared" si="8"/>
        <v>1103</v>
      </c>
      <c r="X20" s="11">
        <f t="shared" si="4"/>
        <v>1494</v>
      </c>
      <c r="Y20" s="11">
        <f t="shared" si="9"/>
        <v>1619</v>
      </c>
      <c r="Z20" s="11">
        <f t="shared" si="5"/>
        <v>1519</v>
      </c>
      <c r="AA20" s="11">
        <f t="shared" si="6"/>
        <v>1487.6000000000001</v>
      </c>
    </row>
    <row r="21" spans="1:27" s="1" customFormat="1" ht="12.75">
      <c r="A21" s="11"/>
      <c r="B21" s="11"/>
      <c r="C21" s="11">
        <v>188.4</v>
      </c>
      <c r="D21" s="11">
        <v>217.8</v>
      </c>
      <c r="E21" s="33">
        <v>203</v>
      </c>
      <c r="F21" s="11">
        <f>422-E21</f>
        <v>219</v>
      </c>
      <c r="G21" s="11">
        <f>594-F21-E21</f>
        <v>172</v>
      </c>
      <c r="H21" s="11">
        <f>819-G21-F21-E21</f>
        <v>225</v>
      </c>
      <c r="I21" s="27">
        <v>215</v>
      </c>
      <c r="J21" s="11">
        <f>471-I21</f>
        <v>256</v>
      </c>
      <c r="K21" s="11">
        <f>658-J21-I21</f>
        <v>187</v>
      </c>
      <c r="L21" s="11">
        <f>896-K21-J21-I21</f>
        <v>238</v>
      </c>
      <c r="M21" s="11">
        <v>198</v>
      </c>
      <c r="N21" s="11">
        <f>395-M21</f>
        <v>197</v>
      </c>
      <c r="O21" s="11">
        <f>549-N21-M21</f>
        <v>154</v>
      </c>
      <c r="P21" s="27">
        <f>718-SUM(M21:O21)</f>
        <v>169</v>
      </c>
      <c r="Q21" s="11">
        <v>167</v>
      </c>
      <c r="R21" s="11">
        <f>340-Q21</f>
        <v>173</v>
      </c>
      <c r="S21" s="11">
        <f>483-R21-Q21</f>
        <v>143</v>
      </c>
      <c r="T21" s="27"/>
      <c r="U21" s="11" t="s">
        <v>13</v>
      </c>
      <c r="V21" s="11">
        <f t="shared" si="7"/>
        <v>483</v>
      </c>
      <c r="W21" s="11">
        <f t="shared" si="8"/>
        <v>549</v>
      </c>
      <c r="X21" s="11">
        <f t="shared" si="4"/>
        <v>718</v>
      </c>
      <c r="Y21" s="11">
        <f t="shared" si="9"/>
        <v>896</v>
      </c>
      <c r="Z21" s="11">
        <f t="shared" si="5"/>
        <v>819</v>
      </c>
      <c r="AA21" s="11">
        <f t="shared" si="6"/>
        <v>406.20000000000005</v>
      </c>
    </row>
    <row r="22" spans="1:27" s="1" customFormat="1" ht="12.75">
      <c r="A22" s="11">
        <v>135.9</v>
      </c>
      <c r="B22" s="11">
        <v>133.5</v>
      </c>
      <c r="C22" s="11">
        <v>127.5</v>
      </c>
      <c r="D22" s="11">
        <v>139.2</v>
      </c>
      <c r="E22" s="33">
        <v>138</v>
      </c>
      <c r="F22" s="11">
        <f>272-E22</f>
        <v>134</v>
      </c>
      <c r="G22" s="11">
        <f>427-F22-E22</f>
        <v>155</v>
      </c>
      <c r="H22" s="11">
        <f>627-G22-F22-E22</f>
        <v>200</v>
      </c>
      <c r="I22" s="27">
        <v>179</v>
      </c>
      <c r="J22" s="11">
        <f>337-I22</f>
        <v>158</v>
      </c>
      <c r="K22" s="11">
        <f>514-J22-I22</f>
        <v>177</v>
      </c>
      <c r="L22" s="11">
        <f>696-K22-J22-I22</f>
        <v>182</v>
      </c>
      <c r="M22" s="11">
        <v>162</v>
      </c>
      <c r="N22" s="11">
        <f>343-M22</f>
        <v>181</v>
      </c>
      <c r="O22" s="11">
        <f>525-N22-M22</f>
        <v>182</v>
      </c>
      <c r="P22" s="27">
        <f>730-SUM(M22:O22)</f>
        <v>205</v>
      </c>
      <c r="Q22" s="11">
        <v>167</v>
      </c>
      <c r="R22" s="11">
        <v>167</v>
      </c>
      <c r="S22" s="11">
        <f>509-R22-Q22</f>
        <v>175</v>
      </c>
      <c r="T22" s="27"/>
      <c r="U22" s="11" t="s">
        <v>14</v>
      </c>
      <c r="V22" s="11">
        <f t="shared" si="7"/>
        <v>509</v>
      </c>
      <c r="W22" s="11">
        <f t="shared" si="8"/>
        <v>525</v>
      </c>
      <c r="X22" s="11">
        <f t="shared" si="4"/>
        <v>730</v>
      </c>
      <c r="Y22" s="11">
        <f t="shared" si="9"/>
        <v>696</v>
      </c>
      <c r="Z22" s="11">
        <f t="shared" si="5"/>
        <v>627</v>
      </c>
      <c r="AA22" s="11">
        <f t="shared" si="6"/>
        <v>536.1</v>
      </c>
    </row>
    <row r="23" spans="1:27" s="1" customFormat="1" ht="12.75">
      <c r="A23" s="11">
        <v>28.1</v>
      </c>
      <c r="B23" s="11">
        <v>28.9</v>
      </c>
      <c r="C23" s="11">
        <v>126.6</v>
      </c>
      <c r="D23" s="11">
        <v>137.9</v>
      </c>
      <c r="E23" s="33">
        <v>146</v>
      </c>
      <c r="F23" s="11">
        <f>292-E23</f>
        <v>146</v>
      </c>
      <c r="G23" s="11">
        <f>406-F23-E23</f>
        <v>114</v>
      </c>
      <c r="H23" s="11">
        <f>574-G23-F23-E23</f>
        <v>168</v>
      </c>
      <c r="I23" s="27">
        <v>159</v>
      </c>
      <c r="J23" s="11">
        <f>326-I23</f>
        <v>167</v>
      </c>
      <c r="K23" s="11">
        <f>470-J23-I23</f>
        <v>144</v>
      </c>
      <c r="L23" s="11">
        <f>630-K23-J23-I23</f>
        <v>160</v>
      </c>
      <c r="M23" s="11">
        <v>164</v>
      </c>
      <c r="N23" s="11">
        <v>152</v>
      </c>
      <c r="O23" s="11">
        <f>443-N23-M23</f>
        <v>127</v>
      </c>
      <c r="P23" s="27">
        <f>585-SUM(M23:O23)</f>
        <v>142</v>
      </c>
      <c r="Q23" s="11">
        <v>142</v>
      </c>
      <c r="R23" s="11">
        <f>284-Q23</f>
        <v>142</v>
      </c>
      <c r="S23" s="11">
        <f>408-R23-Q23</f>
        <v>124</v>
      </c>
      <c r="T23" s="27"/>
      <c r="U23" s="11" t="s">
        <v>15</v>
      </c>
      <c r="V23" s="11">
        <f t="shared" si="7"/>
        <v>408</v>
      </c>
      <c r="W23" s="11">
        <f t="shared" si="8"/>
        <v>443</v>
      </c>
      <c r="X23" s="11">
        <f t="shared" si="4"/>
        <v>585</v>
      </c>
      <c r="Y23" s="11">
        <f t="shared" si="9"/>
        <v>630</v>
      </c>
      <c r="Z23" s="11">
        <f t="shared" si="5"/>
        <v>574</v>
      </c>
      <c r="AA23" s="11">
        <f t="shared" si="6"/>
        <v>321.5</v>
      </c>
    </row>
    <row r="24" spans="1:27" s="1" customFormat="1" ht="12.75">
      <c r="A24" s="11">
        <v>-138.9</v>
      </c>
      <c r="B24" s="11">
        <v>-143.8</v>
      </c>
      <c r="C24" s="11">
        <v>-221.3</v>
      </c>
      <c r="D24" s="11">
        <v>-197</v>
      </c>
      <c r="E24" s="33">
        <v>-237</v>
      </c>
      <c r="F24" s="11">
        <f>-464-E24</f>
        <v>-227</v>
      </c>
      <c r="G24" s="11">
        <f>-728-F24-E24</f>
        <v>-264</v>
      </c>
      <c r="H24" s="11">
        <f>-992-G24-F24-E24</f>
        <v>-264</v>
      </c>
      <c r="I24" s="27">
        <v>-283</v>
      </c>
      <c r="J24" s="11">
        <f>-546-I24</f>
        <v>-263</v>
      </c>
      <c r="K24" s="11">
        <f>-812-J24-I24</f>
        <v>-266</v>
      </c>
      <c r="L24" s="11">
        <f>-1060-K24-J24-I24</f>
        <v>-248</v>
      </c>
      <c r="M24" s="11">
        <v>-278</v>
      </c>
      <c r="N24" s="11">
        <f>-542-M24</f>
        <v>-264</v>
      </c>
      <c r="O24" s="11">
        <f>-799-N24-M24</f>
        <v>-257</v>
      </c>
      <c r="P24" s="27">
        <f>-1088-SUM(M24:O24)</f>
        <v>-289</v>
      </c>
      <c r="Q24" s="11">
        <v>-250</v>
      </c>
      <c r="R24" s="11">
        <f>-507-Q24</f>
        <v>-257</v>
      </c>
      <c r="S24" s="11">
        <f>-761-R24-Q24</f>
        <v>-254</v>
      </c>
      <c r="T24" s="27"/>
      <c r="U24" s="11" t="s">
        <v>16</v>
      </c>
      <c r="V24" s="11">
        <f t="shared" si="7"/>
        <v>-761</v>
      </c>
      <c r="W24" s="11">
        <f t="shared" si="8"/>
        <v>-799</v>
      </c>
      <c r="X24" s="11">
        <f t="shared" si="4"/>
        <v>-1088</v>
      </c>
      <c r="Y24" s="11">
        <f t="shared" si="9"/>
        <v>-1060</v>
      </c>
      <c r="Z24" s="11">
        <f t="shared" si="5"/>
        <v>-992</v>
      </c>
      <c r="AA24" s="11">
        <f t="shared" si="6"/>
        <v>-701</v>
      </c>
    </row>
    <row r="25" spans="1:27" s="1" customFormat="1" ht="12.75">
      <c r="A25" s="11"/>
      <c r="B25" s="11"/>
      <c r="C25" s="11"/>
      <c r="D25" s="11"/>
      <c r="E25" s="33">
        <v>10</v>
      </c>
      <c r="F25" s="11">
        <f>20-E25</f>
        <v>10</v>
      </c>
      <c r="G25" s="11">
        <f>19-F25-E25</f>
        <v>-1</v>
      </c>
      <c r="H25" s="11">
        <f>-25-G25-F25-E25</f>
        <v>-44</v>
      </c>
      <c r="I25" s="27"/>
      <c r="J25" s="11"/>
      <c r="K25" s="11"/>
      <c r="L25" s="11"/>
      <c r="M25" s="11"/>
      <c r="N25" s="11"/>
      <c r="O25" s="11"/>
      <c r="P25" s="27"/>
      <c r="Q25" s="11"/>
      <c r="R25" s="11"/>
      <c r="S25" s="11"/>
      <c r="T25" s="27"/>
      <c r="U25" s="11" t="s">
        <v>39</v>
      </c>
      <c r="V25" s="11">
        <f t="shared" si="7"/>
        <v>0</v>
      </c>
      <c r="W25" s="11">
        <f t="shared" si="8"/>
        <v>0</v>
      </c>
      <c r="X25" s="11">
        <f t="shared" si="4"/>
        <v>0</v>
      </c>
      <c r="Y25" s="11">
        <f>+I25+J25+K25+L25</f>
        <v>0</v>
      </c>
      <c r="Z25" s="11">
        <f>+H25+G25+F25+E25</f>
        <v>-25</v>
      </c>
      <c r="AA25" s="11"/>
    </row>
    <row r="26" spans="1:27" s="1" customFormat="1" ht="12.75">
      <c r="A26" s="11"/>
      <c r="B26" s="11"/>
      <c r="C26" s="11"/>
      <c r="D26" s="11"/>
      <c r="E26" s="33"/>
      <c r="F26" s="11"/>
      <c r="G26" s="11"/>
      <c r="H26" s="11"/>
      <c r="I26" s="27"/>
      <c r="J26" s="11"/>
      <c r="K26" s="11"/>
      <c r="L26" s="11"/>
      <c r="M26" s="11"/>
      <c r="N26" s="11"/>
      <c r="O26" s="11"/>
      <c r="P26" s="27"/>
      <c r="Q26" s="11"/>
      <c r="R26" s="11"/>
      <c r="S26" s="11"/>
      <c r="T26" s="27"/>
      <c r="U26" s="11"/>
      <c r="V26" s="11"/>
      <c r="W26" s="11"/>
      <c r="X26" s="11"/>
      <c r="Y26" s="11"/>
      <c r="Z26" s="11"/>
      <c r="AA26" s="11"/>
    </row>
    <row r="27" spans="1:27" s="4" customFormat="1" ht="12.75">
      <c r="A27" s="10">
        <f>SUM(A28:A30)</f>
        <v>25.7</v>
      </c>
      <c r="B27" s="10">
        <f>SUM(B28:B30)</f>
        <v>21.8</v>
      </c>
      <c r="C27" s="10">
        <f>SUM(C28:C30)</f>
        <v>21.7</v>
      </c>
      <c r="D27" s="10">
        <f>SUM(D28:D30)</f>
        <v>50.9</v>
      </c>
      <c r="E27" s="32">
        <f>SUM(E28:E30)</f>
        <v>57</v>
      </c>
      <c r="F27" s="10">
        <f aca="true" t="shared" si="10" ref="F27:K27">SUM(F28:F31)</f>
        <v>58</v>
      </c>
      <c r="G27" s="10">
        <f t="shared" si="10"/>
        <v>62</v>
      </c>
      <c r="H27" s="10">
        <f t="shared" si="10"/>
        <v>91</v>
      </c>
      <c r="I27" s="26">
        <f t="shared" si="10"/>
        <v>60</v>
      </c>
      <c r="J27" s="10">
        <f t="shared" si="10"/>
        <v>61</v>
      </c>
      <c r="K27" s="10">
        <f t="shared" si="10"/>
        <v>58</v>
      </c>
      <c r="L27" s="10">
        <f aca="true" t="shared" si="11" ref="L27:T27">SUM(L28:L31)</f>
        <v>98</v>
      </c>
      <c r="M27" s="10">
        <f t="shared" si="11"/>
        <v>73</v>
      </c>
      <c r="N27" s="10">
        <f t="shared" si="11"/>
        <v>74</v>
      </c>
      <c r="O27" s="10">
        <f t="shared" si="11"/>
        <v>74</v>
      </c>
      <c r="P27" s="26">
        <f t="shared" si="11"/>
        <v>99</v>
      </c>
      <c r="Q27" s="10">
        <f t="shared" si="11"/>
        <v>75</v>
      </c>
      <c r="R27" s="10">
        <f t="shared" si="11"/>
        <v>73</v>
      </c>
      <c r="S27" s="10">
        <f t="shared" si="11"/>
        <v>77</v>
      </c>
      <c r="T27" s="26">
        <f t="shared" si="11"/>
        <v>0</v>
      </c>
      <c r="U27" s="10" t="s">
        <v>19</v>
      </c>
      <c r="V27" s="10">
        <f t="shared" si="7"/>
        <v>225</v>
      </c>
      <c r="W27" s="10">
        <f>+M27+N27+O27</f>
        <v>221</v>
      </c>
      <c r="X27" s="10">
        <f>+SUM(M27:P27)</f>
        <v>320</v>
      </c>
      <c r="Y27" s="10">
        <f>+I27+J27+K27+L27</f>
        <v>277</v>
      </c>
      <c r="Z27" s="10">
        <f>+H27+G27+F27+E27</f>
        <v>268</v>
      </c>
      <c r="AA27" s="10">
        <f>+D27+C27+B27+A27</f>
        <v>120.1</v>
      </c>
    </row>
    <row r="28" spans="1:27" s="1" customFormat="1" ht="12.75">
      <c r="A28" s="11">
        <v>8.8</v>
      </c>
      <c r="B28" s="11">
        <v>7.3</v>
      </c>
      <c r="C28" s="11">
        <v>8.7</v>
      </c>
      <c r="D28" s="11">
        <v>30.5</v>
      </c>
      <c r="E28" s="33">
        <v>11</v>
      </c>
      <c r="F28" s="11">
        <f>21-E28</f>
        <v>10</v>
      </c>
      <c r="G28" s="11">
        <f>33-F28-E28</f>
        <v>12</v>
      </c>
      <c r="H28" s="11">
        <f>68-G28-F28-E28</f>
        <v>35</v>
      </c>
      <c r="I28" s="27">
        <v>13</v>
      </c>
      <c r="J28" s="11">
        <f>22-13</f>
        <v>9</v>
      </c>
      <c r="K28" s="11">
        <f>35-J28-I28</f>
        <v>13</v>
      </c>
      <c r="L28" s="11">
        <f>68-K28-J28-I28</f>
        <v>33</v>
      </c>
      <c r="M28" s="11">
        <v>13</v>
      </c>
      <c r="N28" s="11">
        <f>24-M28</f>
        <v>11</v>
      </c>
      <c r="O28" s="11">
        <f>38-N28-M28</f>
        <v>14</v>
      </c>
      <c r="P28" s="27">
        <f>71-SUM(M28:O28)</f>
        <v>33</v>
      </c>
      <c r="Q28" s="11">
        <v>15</v>
      </c>
      <c r="R28" s="11">
        <f>28-Q28</f>
        <v>13</v>
      </c>
      <c r="S28" s="11">
        <f>40-R28-Q28</f>
        <v>12</v>
      </c>
      <c r="T28" s="27"/>
      <c r="U28" s="11" t="s">
        <v>45</v>
      </c>
      <c r="V28" s="11">
        <f t="shared" si="7"/>
        <v>40</v>
      </c>
      <c r="W28" s="11">
        <f>+M28+N28+O28</f>
        <v>38</v>
      </c>
      <c r="X28" s="11">
        <f>+SUM(M28:P28)</f>
        <v>71</v>
      </c>
      <c r="Y28" s="11">
        <f>+I28+J28+K28+L28</f>
        <v>68</v>
      </c>
      <c r="Z28" s="11">
        <f>+H28+G28+F28+E28</f>
        <v>68</v>
      </c>
      <c r="AA28" s="11">
        <f>+D28+C28+B28+A28</f>
        <v>55.3</v>
      </c>
    </row>
    <row r="29" spans="1:27" s="1" customFormat="1" ht="12.75">
      <c r="A29" s="11"/>
      <c r="B29" s="11"/>
      <c r="C29" s="11"/>
      <c r="D29" s="11"/>
      <c r="E29" s="33">
        <v>29</v>
      </c>
      <c r="F29" s="11">
        <f>60-E29</f>
        <v>31</v>
      </c>
      <c r="G29" s="11">
        <f>97-F29-E29</f>
        <v>37</v>
      </c>
      <c r="H29" s="11">
        <f>133-G29-F29-E29</f>
        <v>36</v>
      </c>
      <c r="I29" s="27">
        <v>32</v>
      </c>
      <c r="J29" s="11">
        <f>62-I29</f>
        <v>30</v>
      </c>
      <c r="K29" s="11">
        <f>96-J29-I29</f>
        <v>34</v>
      </c>
      <c r="L29" s="11">
        <f>139-K29-J29-I29</f>
        <v>43</v>
      </c>
      <c r="M29" s="11">
        <v>44</v>
      </c>
      <c r="N29" s="11">
        <f>87-M29</f>
        <v>43</v>
      </c>
      <c r="O29" s="11">
        <f>133-N29-M29</f>
        <v>46</v>
      </c>
      <c r="P29" s="27">
        <f>177-SUM(M29:O29)</f>
        <v>44</v>
      </c>
      <c r="Q29" s="11">
        <v>44</v>
      </c>
      <c r="R29" s="11">
        <f>85-Q29</f>
        <v>41</v>
      </c>
      <c r="S29" s="11">
        <f>135-R29-Q29</f>
        <v>50</v>
      </c>
      <c r="T29" s="27"/>
      <c r="U29" s="11" t="s">
        <v>20</v>
      </c>
      <c r="V29" s="11">
        <f t="shared" si="7"/>
        <v>135</v>
      </c>
      <c r="W29" s="11">
        <f>+M29+N29+O29</f>
        <v>133</v>
      </c>
      <c r="X29" s="11">
        <f>+SUM(M29:P29)</f>
        <v>177</v>
      </c>
      <c r="Y29" s="11">
        <f>+I29+J29+K29+L29</f>
        <v>139</v>
      </c>
      <c r="Z29" s="11">
        <f>+H29+G29+F29+E29</f>
        <v>133</v>
      </c>
      <c r="AA29" s="11">
        <f>+D29+C29+B29+A29</f>
        <v>0</v>
      </c>
    </row>
    <row r="30" spans="1:27" s="1" customFormat="1" ht="12.75">
      <c r="A30" s="11">
        <v>16.9</v>
      </c>
      <c r="B30" s="11">
        <v>14.5</v>
      </c>
      <c r="C30" s="11">
        <v>13</v>
      </c>
      <c r="D30" s="11">
        <v>20.4</v>
      </c>
      <c r="E30" s="33">
        <v>17</v>
      </c>
      <c r="F30" s="11">
        <f>34-E30</f>
        <v>17</v>
      </c>
      <c r="G30" s="11">
        <f>47-F30-E30</f>
        <v>13</v>
      </c>
      <c r="H30" s="11">
        <f>67-G30-F30-E30</f>
        <v>20</v>
      </c>
      <c r="I30" s="27">
        <v>15</v>
      </c>
      <c r="J30" s="11">
        <f>51-I30</f>
        <v>36</v>
      </c>
      <c r="K30" s="11">
        <f>58-J30-I30</f>
        <v>7</v>
      </c>
      <c r="L30" s="11">
        <f>80-K30-J30-I30</f>
        <v>22</v>
      </c>
      <c r="M30" s="11">
        <v>16</v>
      </c>
      <c r="N30" s="11">
        <v>20</v>
      </c>
      <c r="O30" s="11">
        <f>50-N30-M30</f>
        <v>14</v>
      </c>
      <c r="P30" s="27">
        <f>72-SUM(M30:O30)</f>
        <v>22</v>
      </c>
      <c r="Q30" s="11">
        <v>16</v>
      </c>
      <c r="R30" s="11">
        <f>35-Q30</f>
        <v>19</v>
      </c>
      <c r="S30" s="11">
        <v>15</v>
      </c>
      <c r="T30" s="27"/>
      <c r="U30" s="11" t="s">
        <v>18</v>
      </c>
      <c r="V30" s="11">
        <f t="shared" si="7"/>
        <v>50</v>
      </c>
      <c r="W30" s="11">
        <f>+M30+N30+O30</f>
        <v>50</v>
      </c>
      <c r="X30" s="11">
        <f>+SUM(M30:P30)</f>
        <v>72</v>
      </c>
      <c r="Y30" s="11">
        <f>+I30+J30+K30+L30</f>
        <v>80</v>
      </c>
      <c r="Z30" s="11">
        <f>+H30+G30+F30+E30</f>
        <v>67</v>
      </c>
      <c r="AA30" s="11">
        <f>+D30+C30+B30+A30</f>
        <v>64.8</v>
      </c>
    </row>
    <row r="31" spans="1:27" s="1" customFormat="1" ht="12.75">
      <c r="A31" s="11"/>
      <c r="B31" s="11"/>
      <c r="C31" s="11"/>
      <c r="D31" s="11"/>
      <c r="E31" s="33"/>
      <c r="F31" s="11"/>
      <c r="G31" s="11"/>
      <c r="H31" s="11"/>
      <c r="I31" s="27"/>
      <c r="J31" s="11">
        <f>-14-I31-H31</f>
        <v>-14</v>
      </c>
      <c r="K31" s="11">
        <f>-10-J31-I31</f>
        <v>4</v>
      </c>
      <c r="L31" s="11">
        <f>-10-K31-J31-I31</f>
        <v>0</v>
      </c>
      <c r="M31" s="11"/>
      <c r="N31" s="11"/>
      <c r="O31" s="11"/>
      <c r="P31" s="27"/>
      <c r="Q31" s="11"/>
      <c r="R31" s="11"/>
      <c r="S31" s="11"/>
      <c r="T31" s="27"/>
      <c r="U31" s="11" t="s">
        <v>39</v>
      </c>
      <c r="V31" s="11">
        <f t="shared" si="7"/>
        <v>0</v>
      </c>
      <c r="W31" s="11">
        <f>+M31+N31+O31</f>
        <v>0</v>
      </c>
      <c r="X31" s="11">
        <f>+SUM(M31:P31)</f>
        <v>0</v>
      </c>
      <c r="Y31" s="11">
        <f>+I31+J31+K31+L31</f>
        <v>-10</v>
      </c>
      <c r="Z31" s="11">
        <f>+H31+G31+F31+E31</f>
        <v>0</v>
      </c>
      <c r="AA31" s="11"/>
    </row>
    <row r="32" spans="1:27" s="1" customFormat="1" ht="12.75">
      <c r="A32" s="11"/>
      <c r="B32" s="11"/>
      <c r="C32" s="11"/>
      <c r="D32" s="11"/>
      <c r="E32" s="33"/>
      <c r="F32" s="11"/>
      <c r="G32" s="11"/>
      <c r="H32" s="11"/>
      <c r="I32" s="30" t="s">
        <v>21</v>
      </c>
      <c r="J32" s="11"/>
      <c r="K32" s="11"/>
      <c r="L32" s="11"/>
      <c r="M32" s="11"/>
      <c r="N32" s="11"/>
      <c r="O32" s="11"/>
      <c r="P32" s="27"/>
      <c r="Q32" s="11"/>
      <c r="R32" s="11"/>
      <c r="S32" s="11"/>
      <c r="T32" s="27"/>
      <c r="U32" s="11"/>
      <c r="V32" s="11"/>
      <c r="W32" s="11"/>
      <c r="X32" s="11"/>
      <c r="Y32" s="11"/>
      <c r="Z32" s="11"/>
      <c r="AA32" s="11"/>
    </row>
    <row r="33" spans="1:27" s="4" customFormat="1" ht="12.75">
      <c r="A33" s="10">
        <f aca="true" t="shared" si="12" ref="A33:M33">SUM(A34:A37)</f>
        <v>162.10000000000002</v>
      </c>
      <c r="B33" s="10">
        <f t="shared" si="12"/>
        <v>143.2</v>
      </c>
      <c r="C33" s="10">
        <f t="shared" si="12"/>
        <v>149.70000000000002</v>
      </c>
      <c r="D33" s="10">
        <f t="shared" si="12"/>
        <v>225.9</v>
      </c>
      <c r="E33" s="32">
        <f t="shared" si="12"/>
        <v>198</v>
      </c>
      <c r="F33" s="10">
        <f t="shared" si="12"/>
        <v>131</v>
      </c>
      <c r="G33" s="10">
        <f t="shared" si="12"/>
        <v>155</v>
      </c>
      <c r="H33" s="10">
        <f t="shared" si="12"/>
        <v>225</v>
      </c>
      <c r="I33" s="26">
        <f t="shared" si="12"/>
        <v>207</v>
      </c>
      <c r="J33" s="10">
        <f t="shared" si="12"/>
        <v>232</v>
      </c>
      <c r="K33" s="10">
        <f t="shared" si="12"/>
        <v>237</v>
      </c>
      <c r="L33" s="10">
        <f t="shared" si="12"/>
        <v>400</v>
      </c>
      <c r="M33" s="10">
        <f t="shared" si="12"/>
        <v>286</v>
      </c>
      <c r="N33" s="10">
        <f aca="true" t="shared" si="13" ref="N33:T33">SUM(N34:N37)</f>
        <v>231</v>
      </c>
      <c r="O33" s="10">
        <f t="shared" si="13"/>
        <v>222</v>
      </c>
      <c r="P33" s="26">
        <f t="shared" si="13"/>
        <v>368</v>
      </c>
      <c r="Q33" s="10">
        <f t="shared" si="13"/>
        <v>310</v>
      </c>
      <c r="R33" s="10">
        <f t="shared" si="13"/>
        <v>283</v>
      </c>
      <c r="S33" s="10">
        <f t="shared" si="13"/>
        <v>237</v>
      </c>
      <c r="T33" s="26">
        <f t="shared" si="13"/>
        <v>0</v>
      </c>
      <c r="U33" s="10" t="s">
        <v>22</v>
      </c>
      <c r="V33" s="10">
        <f t="shared" si="7"/>
        <v>830</v>
      </c>
      <c r="W33" s="10">
        <f>+M33+N33+O33</f>
        <v>739</v>
      </c>
      <c r="X33" s="10">
        <f>+SUM(M33:P33)</f>
        <v>1107</v>
      </c>
      <c r="Y33" s="10">
        <f>+I33+J33+K33+L33</f>
        <v>1076</v>
      </c>
      <c r="Z33" s="10">
        <f>+H33+G33+F33+E33</f>
        <v>709</v>
      </c>
      <c r="AA33" s="10">
        <f>+D33+C33+B33+A33+AA37</f>
        <v>647.9</v>
      </c>
    </row>
    <row r="34" spans="1:27" s="1" customFormat="1" ht="12.75">
      <c r="A34" s="11">
        <v>62.6</v>
      </c>
      <c r="B34" s="11">
        <v>56.7</v>
      </c>
      <c r="C34" s="11">
        <v>71</v>
      </c>
      <c r="D34" s="11">
        <v>95.1</v>
      </c>
      <c r="E34" s="33">
        <v>118</v>
      </c>
      <c r="F34" s="11">
        <f>182-E34</f>
        <v>64</v>
      </c>
      <c r="G34" s="11">
        <f>274-F34-E34</f>
        <v>92</v>
      </c>
      <c r="H34" s="11">
        <f>408-G34-F34-E34</f>
        <v>134</v>
      </c>
      <c r="I34" s="27">
        <v>120</v>
      </c>
      <c r="J34" s="11">
        <f>203-I34</f>
        <v>83</v>
      </c>
      <c r="K34" s="11">
        <f>308-J34-I34</f>
        <v>105</v>
      </c>
      <c r="L34" s="11">
        <f>439-K34-J34-I34</f>
        <v>131</v>
      </c>
      <c r="M34" s="11">
        <v>135</v>
      </c>
      <c r="N34" s="11">
        <f>227-M34</f>
        <v>92</v>
      </c>
      <c r="O34" s="11">
        <f>346-N34-M34</f>
        <v>119</v>
      </c>
      <c r="P34" s="27">
        <f>491-SUM(M34:O34)</f>
        <v>145</v>
      </c>
      <c r="Q34" s="11">
        <v>130</v>
      </c>
      <c r="R34" s="11">
        <f>261-Q34</f>
        <v>131</v>
      </c>
      <c r="S34" s="11">
        <f>370-R34-Q34</f>
        <v>109</v>
      </c>
      <c r="T34" s="27"/>
      <c r="U34" s="11" t="s">
        <v>23</v>
      </c>
      <c r="V34" s="11">
        <f t="shared" si="7"/>
        <v>370</v>
      </c>
      <c r="W34" s="11">
        <f>+M34+N34+O34</f>
        <v>346</v>
      </c>
      <c r="X34" s="11">
        <f>+SUM(M34:P34)</f>
        <v>491</v>
      </c>
      <c r="Y34" s="11">
        <f>+I34+J34+K34+L34</f>
        <v>439</v>
      </c>
      <c r="Z34" s="11">
        <f>+H34+G34+F34+E34</f>
        <v>408</v>
      </c>
      <c r="AA34" s="11">
        <f>+D34+C34+B34+A34</f>
        <v>285.40000000000003</v>
      </c>
    </row>
    <row r="35" spans="1:27" s="1" customFormat="1" ht="12.75">
      <c r="A35" s="11">
        <v>97.7</v>
      </c>
      <c r="B35" s="11">
        <v>77.3</v>
      </c>
      <c r="C35" s="11">
        <v>76.8</v>
      </c>
      <c r="D35" s="11">
        <v>111.9</v>
      </c>
      <c r="E35" s="33">
        <v>80</v>
      </c>
      <c r="F35" s="11">
        <f>147-E35</f>
        <v>67</v>
      </c>
      <c r="G35" s="11">
        <f>210-F35-E35</f>
        <v>63</v>
      </c>
      <c r="H35" s="11">
        <f>303-G35-F35-E35</f>
        <v>93</v>
      </c>
      <c r="I35" s="27">
        <v>87</v>
      </c>
      <c r="J35" s="11">
        <f>236-I35</f>
        <v>149</v>
      </c>
      <c r="K35" s="11">
        <f>367-J35-I35</f>
        <v>131</v>
      </c>
      <c r="L35" s="11">
        <f>640-K35-J35-I35</f>
        <v>273</v>
      </c>
      <c r="M35" s="11">
        <v>151</v>
      </c>
      <c r="N35" s="11">
        <f>290-M35</f>
        <v>139</v>
      </c>
      <c r="O35" s="11">
        <f>393-N35-M35</f>
        <v>103</v>
      </c>
      <c r="P35" s="27">
        <f>616-SUM(M35:O35)</f>
        <v>223</v>
      </c>
      <c r="Q35" s="11">
        <v>180</v>
      </c>
      <c r="R35" s="11">
        <f>332-Q35</f>
        <v>152</v>
      </c>
      <c r="S35" s="11">
        <f>460-R35-Q35</f>
        <v>128</v>
      </c>
      <c r="T35" s="27"/>
      <c r="U35" s="11" t="s">
        <v>24</v>
      </c>
      <c r="V35" s="11">
        <f t="shared" si="7"/>
        <v>460</v>
      </c>
      <c r="W35" s="11">
        <f>+M35+N35+O35</f>
        <v>393</v>
      </c>
      <c r="X35" s="11">
        <f>+SUM(M35:P35)</f>
        <v>616</v>
      </c>
      <c r="Y35" s="11">
        <f>+I35+J35+K35+L35</f>
        <v>640</v>
      </c>
      <c r="Z35" s="11">
        <f>+H35+G35+F35+E35</f>
        <v>303</v>
      </c>
      <c r="AA35" s="11">
        <f>+D35+C35+B35+A35</f>
        <v>363.7</v>
      </c>
    </row>
    <row r="36" spans="1:27" s="1" customFormat="1" ht="12.75">
      <c r="A36" s="11">
        <v>1.8</v>
      </c>
      <c r="B36" s="11">
        <v>9.2</v>
      </c>
      <c r="C36" s="11">
        <v>1.9</v>
      </c>
      <c r="D36" s="11">
        <v>18.9</v>
      </c>
      <c r="E36" s="33"/>
      <c r="F36" s="11"/>
      <c r="G36" s="11"/>
      <c r="H36" s="11">
        <v>-2</v>
      </c>
      <c r="I36" s="27"/>
      <c r="J36" s="11"/>
      <c r="K36" s="11">
        <f>1-J36-I36</f>
        <v>1</v>
      </c>
      <c r="L36" s="11">
        <f>-3-K36-J36-I36</f>
        <v>-4</v>
      </c>
      <c r="M36" s="11"/>
      <c r="N36" s="11"/>
      <c r="O36" s="11"/>
      <c r="P36" s="27"/>
      <c r="Q36" s="11"/>
      <c r="R36" s="11"/>
      <c r="S36" s="11"/>
      <c r="T36" s="27"/>
      <c r="U36" s="11" t="s">
        <v>18</v>
      </c>
      <c r="V36" s="11">
        <f t="shared" si="7"/>
        <v>0</v>
      </c>
      <c r="W36" s="11">
        <f>+M36+N36+O36</f>
        <v>0</v>
      </c>
      <c r="X36" s="11">
        <f>+SUM(M36:P36)</f>
        <v>0</v>
      </c>
      <c r="Y36" s="11">
        <f>+I36+J36+K36+L36</f>
        <v>-3</v>
      </c>
      <c r="Z36" s="11">
        <f>+H36+G36+F36+E36</f>
        <v>-2</v>
      </c>
      <c r="AA36" s="11">
        <f>+D36+C36+B36+A36</f>
        <v>31.799999999999997</v>
      </c>
    </row>
    <row r="37" spans="1:27" s="1" customFormat="1" ht="12.75">
      <c r="A37" s="11"/>
      <c r="B37" s="11"/>
      <c r="C37" s="11"/>
      <c r="D37" s="11"/>
      <c r="E37" s="33"/>
      <c r="F37" s="11"/>
      <c r="G37" s="11"/>
      <c r="H37" s="11"/>
      <c r="I37" s="27"/>
      <c r="J37" s="11"/>
      <c r="K37" s="11"/>
      <c r="L37" s="11"/>
      <c r="M37" s="11"/>
      <c r="N37" s="11"/>
      <c r="O37" s="11"/>
      <c r="P37" s="27"/>
      <c r="Q37" s="11"/>
      <c r="R37" s="11"/>
      <c r="S37" s="11"/>
      <c r="T37" s="27"/>
      <c r="U37" s="11" t="s">
        <v>39</v>
      </c>
      <c r="V37" s="11">
        <f t="shared" si="7"/>
        <v>0</v>
      </c>
      <c r="W37" s="11">
        <f>+M37+N37+O37</f>
        <v>0</v>
      </c>
      <c r="X37" s="11">
        <f>+SUM(M37:P37)</f>
        <v>0</v>
      </c>
      <c r="Y37" s="11">
        <f>+I37+J37+K37+L37</f>
        <v>0</v>
      </c>
      <c r="Z37" s="11">
        <f>+H37+G37+F37+E37</f>
        <v>0</v>
      </c>
      <c r="AA37" s="11">
        <v>-33</v>
      </c>
    </row>
    <row r="38" spans="1:27" s="1" customFormat="1" ht="12.75">
      <c r="A38" s="11"/>
      <c r="B38" s="11"/>
      <c r="C38" s="11"/>
      <c r="D38" s="11"/>
      <c r="E38" s="33"/>
      <c r="F38" s="11"/>
      <c r="G38" s="11"/>
      <c r="H38" s="11"/>
      <c r="I38" s="27"/>
      <c r="J38" s="11"/>
      <c r="K38" s="11"/>
      <c r="L38" s="11"/>
      <c r="M38" s="11"/>
      <c r="N38" s="11"/>
      <c r="O38" s="11"/>
      <c r="P38" s="27"/>
      <c r="Q38" s="11"/>
      <c r="R38" s="11"/>
      <c r="S38" s="11"/>
      <c r="T38" s="27"/>
      <c r="U38" s="11"/>
      <c r="V38" s="11"/>
      <c r="W38" s="11"/>
      <c r="X38" s="11"/>
      <c r="Y38" s="11"/>
      <c r="Z38" s="11"/>
      <c r="AA38" s="11"/>
    </row>
    <row r="39" spans="1:27" s="4" customFormat="1" ht="12.75">
      <c r="A39" s="10">
        <f aca="true" t="shared" si="14" ref="A39:T39">SUM(A40:A42)</f>
        <v>9.5</v>
      </c>
      <c r="B39" s="10">
        <f t="shared" si="14"/>
        <v>10.2</v>
      </c>
      <c r="C39" s="10">
        <f t="shared" si="14"/>
        <v>51.5</v>
      </c>
      <c r="D39" s="10">
        <f t="shared" si="14"/>
        <v>37.2</v>
      </c>
      <c r="E39" s="32">
        <f t="shared" si="14"/>
        <v>47</v>
      </c>
      <c r="F39" s="10">
        <f t="shared" si="14"/>
        <v>51</v>
      </c>
      <c r="G39" s="10">
        <f t="shared" si="14"/>
        <v>42</v>
      </c>
      <c r="H39" s="10">
        <f t="shared" si="14"/>
        <v>54</v>
      </c>
      <c r="I39" s="26">
        <f t="shared" si="14"/>
        <v>45</v>
      </c>
      <c r="J39" s="10">
        <f t="shared" si="14"/>
        <v>54</v>
      </c>
      <c r="K39" s="10">
        <f t="shared" si="14"/>
        <v>47</v>
      </c>
      <c r="L39" s="10">
        <f t="shared" si="14"/>
        <v>52</v>
      </c>
      <c r="M39" s="10">
        <f t="shared" si="14"/>
        <v>51</v>
      </c>
      <c r="N39" s="10">
        <f t="shared" si="14"/>
        <v>57</v>
      </c>
      <c r="O39" s="10">
        <f t="shared" si="14"/>
        <v>51</v>
      </c>
      <c r="P39" s="26">
        <f t="shared" si="14"/>
        <v>61</v>
      </c>
      <c r="Q39" s="10">
        <f t="shared" si="14"/>
        <v>54</v>
      </c>
      <c r="R39" s="10">
        <f t="shared" si="14"/>
        <v>61</v>
      </c>
      <c r="S39" s="10">
        <f t="shared" si="14"/>
        <v>55</v>
      </c>
      <c r="T39" s="26">
        <f t="shared" si="14"/>
        <v>0</v>
      </c>
      <c r="U39" s="10" t="s">
        <v>25</v>
      </c>
      <c r="V39" s="10">
        <f t="shared" si="7"/>
        <v>170</v>
      </c>
      <c r="W39" s="10">
        <f>+M39+N39+O39</f>
        <v>159</v>
      </c>
      <c r="X39" s="10">
        <f>+SUM(M39:P39)</f>
        <v>220</v>
      </c>
      <c r="Y39" s="10">
        <f>+I39+J39+K39+L39</f>
        <v>198</v>
      </c>
      <c r="Z39" s="10">
        <f>+H39+G39+F39+E39</f>
        <v>194</v>
      </c>
      <c r="AA39" s="10">
        <f>+D39+C39+B39+A39</f>
        <v>108.4</v>
      </c>
    </row>
    <row r="40" spans="1:27" s="1" customFormat="1" ht="12.75">
      <c r="A40" s="11"/>
      <c r="B40" s="11"/>
      <c r="C40" s="11">
        <v>46</v>
      </c>
      <c r="D40" s="11">
        <v>27</v>
      </c>
      <c r="E40" s="33">
        <v>41</v>
      </c>
      <c r="F40" s="11">
        <f>87-E40</f>
        <v>46</v>
      </c>
      <c r="G40" s="11">
        <f>126-F40-E40</f>
        <v>39</v>
      </c>
      <c r="H40" s="11">
        <f>171-G40-F40-E40</f>
        <v>45</v>
      </c>
      <c r="I40" s="27">
        <v>41</v>
      </c>
      <c r="J40" s="11">
        <f>90-I40</f>
        <v>49</v>
      </c>
      <c r="K40" s="11">
        <f>134-J40-I40</f>
        <v>44</v>
      </c>
      <c r="L40" s="11">
        <f>182-K40-J40-I40</f>
        <v>48</v>
      </c>
      <c r="M40" s="11">
        <v>47</v>
      </c>
      <c r="N40" s="11">
        <f>100-M40</f>
        <v>53</v>
      </c>
      <c r="O40" s="11">
        <f>146-N40-M40</f>
        <v>46</v>
      </c>
      <c r="P40" s="27">
        <f>201-SUM(M40:O40)</f>
        <v>55</v>
      </c>
      <c r="Q40" s="11">
        <v>49</v>
      </c>
      <c r="R40" s="11">
        <f>104-Q40</f>
        <v>55</v>
      </c>
      <c r="S40" s="11">
        <f>154-R40-Q40</f>
        <v>50</v>
      </c>
      <c r="T40" s="27"/>
      <c r="U40" s="11" t="s">
        <v>26</v>
      </c>
      <c r="V40" s="11">
        <f t="shared" si="7"/>
        <v>154</v>
      </c>
      <c r="W40" s="11">
        <f>+M40+N40+O40</f>
        <v>146</v>
      </c>
      <c r="X40" s="11">
        <f>+SUM(M40:P40)</f>
        <v>201</v>
      </c>
      <c r="Y40" s="11">
        <f>+I40+J40+K40+L40</f>
        <v>182</v>
      </c>
      <c r="Z40" s="11">
        <f>+H40+G40+F40+E40</f>
        <v>171</v>
      </c>
      <c r="AA40" s="11">
        <f>+D40+C40+B40+A40</f>
        <v>73</v>
      </c>
    </row>
    <row r="41" spans="1:27" s="1" customFormat="1" ht="12.75">
      <c r="A41" s="11">
        <v>9.5</v>
      </c>
      <c r="B41" s="11">
        <v>10.2</v>
      </c>
      <c r="C41" s="11">
        <v>5.5</v>
      </c>
      <c r="D41" s="11">
        <v>10.2</v>
      </c>
      <c r="E41" s="33">
        <v>6</v>
      </c>
      <c r="F41" s="11">
        <f>11-E41</f>
        <v>5</v>
      </c>
      <c r="G41" s="11">
        <f>14-F41-E41</f>
        <v>3</v>
      </c>
      <c r="H41" s="11">
        <f>23-G41-F41-E41</f>
        <v>9</v>
      </c>
      <c r="I41" s="27">
        <v>4</v>
      </c>
      <c r="J41" s="11">
        <f>9-I41</f>
        <v>5</v>
      </c>
      <c r="K41" s="11">
        <f>12-J41-I41</f>
        <v>3</v>
      </c>
      <c r="L41" s="11">
        <f>16-K41-J41-I41</f>
        <v>4</v>
      </c>
      <c r="M41" s="11">
        <v>4</v>
      </c>
      <c r="N41" s="11">
        <f>8-M41</f>
        <v>4</v>
      </c>
      <c r="O41" s="11">
        <f>13-N41-M41</f>
        <v>5</v>
      </c>
      <c r="P41" s="27">
        <f>20-SUM(M41:O41)</f>
        <v>7</v>
      </c>
      <c r="Q41" s="11">
        <v>5</v>
      </c>
      <c r="R41" s="11">
        <f>11-Q41</f>
        <v>6</v>
      </c>
      <c r="S41" s="11">
        <f>16-R41-Q41</f>
        <v>5</v>
      </c>
      <c r="T41" s="27"/>
      <c r="U41" s="11" t="s">
        <v>27</v>
      </c>
      <c r="V41" s="11">
        <f t="shared" si="7"/>
        <v>16</v>
      </c>
      <c r="W41" s="11">
        <f>+M41+N41+O41</f>
        <v>13</v>
      </c>
      <c r="X41" s="11">
        <f>+SUM(M41:P41)</f>
        <v>20</v>
      </c>
      <c r="Y41" s="11">
        <f>+I41+J41+K41+L41</f>
        <v>16</v>
      </c>
      <c r="Z41" s="11">
        <f>+H41+G41+F41+E41</f>
        <v>23</v>
      </c>
      <c r="AA41" s="11">
        <f>+D41+C41+B41+A41</f>
        <v>35.4</v>
      </c>
    </row>
    <row r="42" spans="1:27" s="1" customFormat="1" ht="12.75">
      <c r="A42" s="11"/>
      <c r="B42" s="11"/>
      <c r="C42" s="11"/>
      <c r="D42" s="11"/>
      <c r="E42" s="33"/>
      <c r="F42" s="11"/>
      <c r="G42" s="11"/>
      <c r="H42" s="11"/>
      <c r="I42" s="27"/>
      <c r="J42" s="11"/>
      <c r="K42" s="11"/>
      <c r="L42" s="11"/>
      <c r="M42" s="11"/>
      <c r="N42" s="11"/>
      <c r="O42" s="11"/>
      <c r="P42" s="27">
        <f>-1-SUM(M42:O42)</f>
        <v>-1</v>
      </c>
      <c r="Q42" s="11"/>
      <c r="R42" s="11"/>
      <c r="S42" s="11"/>
      <c r="T42" s="27"/>
      <c r="U42" s="11" t="s">
        <v>18</v>
      </c>
      <c r="V42" s="11">
        <f t="shared" si="7"/>
        <v>0</v>
      </c>
      <c r="W42" s="11">
        <f>+M42+N42+O42</f>
        <v>0</v>
      </c>
      <c r="X42" s="11">
        <f>+SUM(M42:P42)</f>
        <v>-1</v>
      </c>
      <c r="Y42" s="11">
        <f>+I42+J42+K42+L42</f>
        <v>0</v>
      </c>
      <c r="Z42" s="11">
        <f>+H42+G42+F42+E42</f>
        <v>0</v>
      </c>
      <c r="AA42" s="11">
        <f>+D42+C42+B42+A42</f>
        <v>0</v>
      </c>
    </row>
    <row r="43" spans="1:27" s="1" customFormat="1" ht="12.75">
      <c r="A43" s="11"/>
      <c r="B43" s="11"/>
      <c r="C43" s="11"/>
      <c r="D43" s="11"/>
      <c r="E43" s="33"/>
      <c r="F43" s="11"/>
      <c r="G43" s="11"/>
      <c r="H43" s="11"/>
      <c r="I43" s="27"/>
      <c r="J43" s="11"/>
      <c r="K43" s="11"/>
      <c r="L43" s="11"/>
      <c r="M43" s="11"/>
      <c r="N43" s="11"/>
      <c r="O43" s="11"/>
      <c r="P43" s="27"/>
      <c r="Q43" s="11"/>
      <c r="R43" s="11"/>
      <c r="S43" s="11"/>
      <c r="T43" s="27"/>
      <c r="U43" s="11"/>
      <c r="V43" s="11"/>
      <c r="W43" s="11"/>
      <c r="X43" s="11"/>
      <c r="Y43" s="11"/>
      <c r="Z43" s="11"/>
      <c r="AA43" s="11"/>
    </row>
    <row r="44" spans="1:27" s="4" customFormat="1" ht="12.75">
      <c r="A44" s="10">
        <f aca="true" t="shared" si="15" ref="A44:J44">SUM(A45:A49)</f>
        <v>105.6</v>
      </c>
      <c r="B44" s="10">
        <f t="shared" si="15"/>
        <v>95</v>
      </c>
      <c r="C44" s="10">
        <f t="shared" si="15"/>
        <v>84</v>
      </c>
      <c r="D44" s="10">
        <f t="shared" si="15"/>
        <v>93.89999999999999</v>
      </c>
      <c r="E44" s="32">
        <f t="shared" si="15"/>
        <v>101</v>
      </c>
      <c r="F44" s="10">
        <f t="shared" si="15"/>
        <v>88</v>
      </c>
      <c r="G44" s="10">
        <f t="shared" si="15"/>
        <v>101</v>
      </c>
      <c r="H44" s="10">
        <f t="shared" si="15"/>
        <v>112</v>
      </c>
      <c r="I44" s="26">
        <f t="shared" si="15"/>
        <v>95</v>
      </c>
      <c r="J44" s="10">
        <f t="shared" si="15"/>
        <v>73</v>
      </c>
      <c r="K44" s="10">
        <f aca="true" t="shared" si="16" ref="K44:T44">SUM(K45:K49)</f>
        <v>77</v>
      </c>
      <c r="L44" s="10">
        <f t="shared" si="16"/>
        <v>86</v>
      </c>
      <c r="M44" s="10">
        <f t="shared" si="16"/>
        <v>77</v>
      </c>
      <c r="N44" s="10">
        <f t="shared" si="16"/>
        <v>81</v>
      </c>
      <c r="O44" s="10">
        <f t="shared" si="16"/>
        <v>78</v>
      </c>
      <c r="P44" s="26">
        <f t="shared" si="16"/>
        <v>71</v>
      </c>
      <c r="Q44" s="10">
        <f t="shared" si="16"/>
        <v>93</v>
      </c>
      <c r="R44" s="10">
        <f t="shared" si="16"/>
        <v>79</v>
      </c>
      <c r="S44" s="10">
        <f t="shared" si="16"/>
        <v>87</v>
      </c>
      <c r="T44" s="26">
        <f t="shared" si="16"/>
        <v>0</v>
      </c>
      <c r="U44" s="10" t="s">
        <v>28</v>
      </c>
      <c r="V44" s="10">
        <f t="shared" si="7"/>
        <v>259</v>
      </c>
      <c r="W44" s="10">
        <f aca="true" t="shared" si="17" ref="W44:W49">+M44+N44+O44</f>
        <v>236</v>
      </c>
      <c r="X44" s="10">
        <f aca="true" t="shared" si="18" ref="X44:X49">+SUM(M44:P44)</f>
        <v>307</v>
      </c>
      <c r="Y44" s="10">
        <f>+I44+J44+K44+L44</f>
        <v>331</v>
      </c>
      <c r="Z44" s="10">
        <f>+H44+G44+F44+E44</f>
        <v>402</v>
      </c>
      <c r="AA44" s="10">
        <f>+D44+C44+B44+A44+AA49</f>
        <v>337.5</v>
      </c>
    </row>
    <row r="45" spans="1:27" s="4" customFormat="1" ht="12.75">
      <c r="A45" s="11">
        <v>85.5</v>
      </c>
      <c r="B45" s="11">
        <v>57.6</v>
      </c>
      <c r="C45" s="11">
        <v>55.7</v>
      </c>
      <c r="D45" s="11">
        <v>58.2</v>
      </c>
      <c r="E45" s="33">
        <v>67</v>
      </c>
      <c r="F45" s="11">
        <f>130-E45</f>
        <v>63</v>
      </c>
      <c r="G45" s="11">
        <f>194-F45-E45</f>
        <v>64</v>
      </c>
      <c r="H45" s="11">
        <f>263-G45-F45-E45</f>
        <v>69</v>
      </c>
      <c r="I45" s="27">
        <v>63</v>
      </c>
      <c r="J45" s="11">
        <v>63</v>
      </c>
      <c r="K45" s="11">
        <v>62</v>
      </c>
      <c r="L45" s="11">
        <v>70</v>
      </c>
      <c r="M45" s="11">
        <v>68</v>
      </c>
      <c r="N45" s="11">
        <f>137-M45</f>
        <v>69</v>
      </c>
      <c r="O45" s="11">
        <f>199-N45-M45</f>
        <v>62</v>
      </c>
      <c r="P45" s="27">
        <f>241-SUM(M45:O45)</f>
        <v>42</v>
      </c>
      <c r="Q45" s="11">
        <v>65</v>
      </c>
      <c r="R45" s="11">
        <f>133-Q45</f>
        <v>68</v>
      </c>
      <c r="S45" s="11">
        <f>198-R45-Q45</f>
        <v>65</v>
      </c>
      <c r="T45" s="27"/>
      <c r="U45" s="11" t="s">
        <v>52</v>
      </c>
      <c r="V45" s="11">
        <f t="shared" si="7"/>
        <v>198</v>
      </c>
      <c r="W45" s="11">
        <f t="shared" si="17"/>
        <v>199</v>
      </c>
      <c r="X45" s="11">
        <f t="shared" si="18"/>
        <v>241</v>
      </c>
      <c r="Y45" s="11">
        <f>+I45+J45+K45+L45</f>
        <v>258</v>
      </c>
      <c r="Z45" s="11">
        <f>+H45+G45+F45+E45</f>
        <v>263</v>
      </c>
      <c r="AA45" s="11">
        <f>+D45+C45+B45+A45</f>
        <v>257</v>
      </c>
    </row>
    <row r="46" spans="1:27" s="1" customFormat="1" ht="12.75">
      <c r="A46" s="11">
        <v>12.3</v>
      </c>
      <c r="B46" s="11">
        <v>11.9</v>
      </c>
      <c r="C46" s="11">
        <v>21.7</v>
      </c>
      <c r="D46" s="11">
        <v>22.4</v>
      </c>
      <c r="E46" s="33">
        <v>22</v>
      </c>
      <c r="F46" s="11">
        <f>54-E46</f>
        <v>32</v>
      </c>
      <c r="G46" s="11">
        <f>112-F46-E46</f>
        <v>58</v>
      </c>
      <c r="H46" s="11">
        <f>132-G46-F46-E46</f>
        <v>20</v>
      </c>
      <c r="I46" s="27">
        <v>43</v>
      </c>
      <c r="J46" s="11"/>
      <c r="K46" s="11"/>
      <c r="L46" s="11"/>
      <c r="M46" s="11"/>
      <c r="N46" s="11"/>
      <c r="O46" s="11"/>
      <c r="P46" s="27"/>
      <c r="Q46" s="11"/>
      <c r="R46" s="11"/>
      <c r="S46" s="11"/>
      <c r="T46" s="27"/>
      <c r="U46" s="11" t="s">
        <v>17</v>
      </c>
      <c r="V46" s="11">
        <f t="shared" si="7"/>
        <v>0</v>
      </c>
      <c r="W46" s="11">
        <f t="shared" si="17"/>
        <v>0</v>
      </c>
      <c r="X46" s="11">
        <f t="shared" si="18"/>
        <v>0</v>
      </c>
      <c r="Y46" s="11">
        <f>+I46+J46+K46+L46</f>
        <v>43</v>
      </c>
      <c r="Z46" s="11">
        <f>+H46+G46+F46+E46</f>
        <v>132</v>
      </c>
      <c r="AA46" s="11">
        <f>+D46+C46+B46+A46</f>
        <v>68.3</v>
      </c>
    </row>
    <row r="47" spans="1:27" s="1" customFormat="1" ht="12.75">
      <c r="A47" s="11"/>
      <c r="B47" s="11"/>
      <c r="C47" s="11"/>
      <c r="D47" s="11"/>
      <c r="E47" s="33"/>
      <c r="F47" s="11"/>
      <c r="G47" s="11"/>
      <c r="H47" s="11"/>
      <c r="I47" s="27"/>
      <c r="J47" s="11"/>
      <c r="K47" s="11"/>
      <c r="L47" s="11"/>
      <c r="M47" s="11">
        <v>2</v>
      </c>
      <c r="N47" s="11">
        <f>7-M47</f>
        <v>5</v>
      </c>
      <c r="O47" s="11">
        <f>14-N47-M47</f>
        <v>7</v>
      </c>
      <c r="P47" s="27">
        <f>29-SUM(M47:O47)</f>
        <v>15</v>
      </c>
      <c r="Q47" s="11">
        <v>9</v>
      </c>
      <c r="R47" s="11">
        <f>20-Q47</f>
        <v>11</v>
      </c>
      <c r="S47" s="11">
        <f>35-R47-Q47</f>
        <v>15</v>
      </c>
      <c r="T47" s="27"/>
      <c r="U47" s="11" t="s">
        <v>44</v>
      </c>
      <c r="V47" s="11">
        <f t="shared" si="7"/>
        <v>35</v>
      </c>
      <c r="W47" s="11">
        <f t="shared" si="17"/>
        <v>14</v>
      </c>
      <c r="X47" s="11">
        <f t="shared" si="18"/>
        <v>29</v>
      </c>
      <c r="Y47" s="11"/>
      <c r="Z47" s="11"/>
      <c r="AA47" s="11"/>
    </row>
    <row r="48" spans="1:27" s="1" customFormat="1" ht="12.75">
      <c r="A48" s="11">
        <v>7.8</v>
      </c>
      <c r="B48" s="11">
        <v>25.5</v>
      </c>
      <c r="C48" s="11">
        <v>6.6</v>
      </c>
      <c r="D48" s="11">
        <v>13.3</v>
      </c>
      <c r="E48" s="33">
        <v>12</v>
      </c>
      <c r="F48" s="11">
        <v>12</v>
      </c>
      <c r="G48" s="11">
        <f>42-F48-E48</f>
        <v>18</v>
      </c>
      <c r="H48" s="11">
        <f>94-G48-F48-E48</f>
        <v>52</v>
      </c>
      <c r="I48" s="27">
        <v>31</v>
      </c>
      <c r="J48" s="11">
        <v>22</v>
      </c>
      <c r="K48" s="11">
        <f>68-J48-I48</f>
        <v>15</v>
      </c>
      <c r="L48" s="11">
        <f>93-K48-J48-I48</f>
        <v>25</v>
      </c>
      <c r="M48" s="11">
        <v>7</v>
      </c>
      <c r="N48" s="11">
        <f>14-M48</f>
        <v>7</v>
      </c>
      <c r="O48" s="11">
        <f>24-1-N48-M48</f>
        <v>9</v>
      </c>
      <c r="P48" s="27">
        <f>39-2-SUM(M48:O48)</f>
        <v>14</v>
      </c>
      <c r="Q48" s="11">
        <v>19</v>
      </c>
      <c r="R48" s="11">
        <f>19-Q48</f>
        <v>0</v>
      </c>
      <c r="S48" s="11">
        <v>7</v>
      </c>
      <c r="T48" s="27"/>
      <c r="U48" s="11" t="s">
        <v>18</v>
      </c>
      <c r="V48" s="11">
        <f t="shared" si="7"/>
        <v>26</v>
      </c>
      <c r="W48" s="11">
        <f t="shared" si="17"/>
        <v>23</v>
      </c>
      <c r="X48" s="11">
        <f t="shared" si="18"/>
        <v>37</v>
      </c>
      <c r="Y48" s="11">
        <f>+I48+J48+K48+L48</f>
        <v>93</v>
      </c>
      <c r="Z48" s="11">
        <f>+H48+G48+F48+E48</f>
        <v>94</v>
      </c>
      <c r="AA48" s="11">
        <f>+D48+C48+B48+A48</f>
        <v>53.199999999999996</v>
      </c>
    </row>
    <row r="49" spans="1:27" s="1" customFormat="1" ht="12.75">
      <c r="A49" s="11"/>
      <c r="B49" s="11"/>
      <c r="C49" s="11"/>
      <c r="D49" s="11"/>
      <c r="E49" s="33"/>
      <c r="F49" s="11">
        <v>-19</v>
      </c>
      <c r="G49" s="11">
        <f>-58-F49-E49</f>
        <v>-39</v>
      </c>
      <c r="H49" s="11">
        <f>-87-G49-F49-E49</f>
        <v>-29</v>
      </c>
      <c r="I49" s="27">
        <v>-42</v>
      </c>
      <c r="J49" s="11">
        <f>-54-I49</f>
        <v>-12</v>
      </c>
      <c r="K49" s="11">
        <f>-54-J49-I49</f>
        <v>0</v>
      </c>
      <c r="L49" s="11">
        <f>-63-K49-J49-I49</f>
        <v>-9</v>
      </c>
      <c r="M49" s="11"/>
      <c r="N49" s="11"/>
      <c r="O49" s="11"/>
      <c r="P49" s="27"/>
      <c r="Q49" s="11"/>
      <c r="R49" s="11"/>
      <c r="S49" s="11"/>
      <c r="T49" s="27"/>
      <c r="U49" s="11" t="s">
        <v>39</v>
      </c>
      <c r="V49" s="11">
        <f t="shared" si="7"/>
        <v>0</v>
      </c>
      <c r="W49" s="11">
        <f t="shared" si="17"/>
        <v>0</v>
      </c>
      <c r="X49" s="11">
        <f t="shared" si="18"/>
        <v>0</v>
      </c>
      <c r="Y49" s="11">
        <f>+I49+J49+K49+L49</f>
        <v>-63</v>
      </c>
      <c r="Z49" s="11">
        <f>+H49+G49+F49+E49</f>
        <v>-87</v>
      </c>
      <c r="AA49" s="11">
        <f>-28-13</f>
        <v>-41</v>
      </c>
    </row>
    <row r="50" spans="1:27" s="1" customFormat="1" ht="12.75">
      <c r="A50" s="11"/>
      <c r="B50" s="11"/>
      <c r="C50" s="11"/>
      <c r="D50" s="11"/>
      <c r="E50" s="33"/>
      <c r="F50" s="11"/>
      <c r="G50" s="11"/>
      <c r="H50" s="11"/>
      <c r="I50" s="27"/>
      <c r="J50" s="11"/>
      <c r="K50" s="11"/>
      <c r="L50" s="11"/>
      <c r="M50" s="11"/>
      <c r="N50" s="11"/>
      <c r="O50" s="11"/>
      <c r="P50" s="27"/>
      <c r="Q50" s="11"/>
      <c r="R50" s="11"/>
      <c r="S50" s="11"/>
      <c r="T50" s="27"/>
      <c r="U50" s="11"/>
      <c r="V50" s="11"/>
      <c r="W50" s="11"/>
      <c r="X50" s="11"/>
      <c r="Y50" s="11"/>
      <c r="Z50" s="11"/>
      <c r="AA50" s="11"/>
    </row>
    <row r="51" spans="1:27" s="4" customFormat="1" ht="12.75">
      <c r="A51" s="10">
        <v>-59.1</v>
      </c>
      <c r="B51" s="10">
        <v>-63.5</v>
      </c>
      <c r="C51" s="10">
        <v>-56.4</v>
      </c>
      <c r="D51" s="10">
        <v>-56.1</v>
      </c>
      <c r="E51" s="32">
        <f aca="true" t="shared" si="19" ref="E51:K51">SUM(E52:E53)</f>
        <v>-63</v>
      </c>
      <c r="F51" s="10">
        <f t="shared" si="19"/>
        <v>-61</v>
      </c>
      <c r="G51" s="10">
        <f t="shared" si="19"/>
        <v>-64</v>
      </c>
      <c r="H51" s="10">
        <f t="shared" si="19"/>
        <v>-67</v>
      </c>
      <c r="I51" s="26">
        <f t="shared" si="19"/>
        <v>-61</v>
      </c>
      <c r="J51" s="10">
        <f t="shared" si="19"/>
        <v>-60</v>
      </c>
      <c r="K51" s="10">
        <f t="shared" si="19"/>
        <v>-61</v>
      </c>
      <c r="L51" s="10">
        <f aca="true" t="shared" si="20" ref="L51:T51">SUM(L52:L53)</f>
        <v>-67</v>
      </c>
      <c r="M51" s="10">
        <f t="shared" si="20"/>
        <v>-67</v>
      </c>
      <c r="N51" s="10">
        <f t="shared" si="20"/>
        <v>-68</v>
      </c>
      <c r="O51" s="10">
        <f t="shared" si="20"/>
        <v>-65</v>
      </c>
      <c r="P51" s="26">
        <f t="shared" si="20"/>
        <v>-45</v>
      </c>
      <c r="Q51" s="10">
        <f t="shared" si="20"/>
        <v>-70</v>
      </c>
      <c r="R51" s="10">
        <f t="shared" si="20"/>
        <v>-65</v>
      </c>
      <c r="S51" s="10">
        <f t="shared" si="20"/>
        <v>-65</v>
      </c>
      <c r="T51" s="26">
        <f t="shared" si="20"/>
        <v>0</v>
      </c>
      <c r="U51" s="10" t="s">
        <v>29</v>
      </c>
      <c r="V51" s="10">
        <f t="shared" si="7"/>
        <v>-200</v>
      </c>
      <c r="W51" s="10">
        <f>+M51+N51+O51</f>
        <v>-200</v>
      </c>
      <c r="X51" s="10">
        <f>+SUM(M51:P51)</f>
        <v>-245</v>
      </c>
      <c r="Y51" s="10">
        <f>+I51+J51+K51+L51</f>
        <v>-249</v>
      </c>
      <c r="Z51" s="10">
        <f>+H51+G51+F51+E51</f>
        <v>-255</v>
      </c>
      <c r="AA51" s="10">
        <f>+D51+C51+B51+A51</f>
        <v>-235.1</v>
      </c>
    </row>
    <row r="52" spans="1:27" s="1" customFormat="1" ht="12.75">
      <c r="A52" s="11"/>
      <c r="B52" s="11"/>
      <c r="C52" s="11"/>
      <c r="D52" s="11"/>
      <c r="E52" s="33">
        <v>-63</v>
      </c>
      <c r="F52" s="11">
        <f>-124-E52</f>
        <v>-61</v>
      </c>
      <c r="G52" s="11">
        <f>-188-F52-E52</f>
        <v>-64</v>
      </c>
      <c r="H52" s="11">
        <f>-255-G52-F52-E52</f>
        <v>-67</v>
      </c>
      <c r="I52" s="27">
        <v>-61</v>
      </c>
      <c r="J52" s="11">
        <v>-74</v>
      </c>
      <c r="K52" s="11">
        <v>-57</v>
      </c>
      <c r="L52" s="11">
        <v>-67</v>
      </c>
      <c r="M52" s="11">
        <v>-67</v>
      </c>
      <c r="N52" s="11">
        <f>-135-M52</f>
        <v>-68</v>
      </c>
      <c r="O52" s="11">
        <f>-201+1-N52-M52</f>
        <v>-65</v>
      </c>
      <c r="P52" s="27">
        <f>-247+2-SUM(M52:O52)</f>
        <v>-45</v>
      </c>
      <c r="Q52" s="11">
        <v>-70</v>
      </c>
      <c r="R52" s="11">
        <f>-135-Q52</f>
        <v>-65</v>
      </c>
      <c r="S52" s="11">
        <f>-200-R52-Q52</f>
        <v>-65</v>
      </c>
      <c r="T52" s="27"/>
      <c r="U52" s="11" t="s">
        <v>16</v>
      </c>
      <c r="V52" s="11">
        <f t="shared" si="7"/>
        <v>-200</v>
      </c>
      <c r="W52" s="11">
        <f>+M52+N52+O52</f>
        <v>-200</v>
      </c>
      <c r="X52" s="11">
        <f>+SUM(M52:P52)</f>
        <v>-245</v>
      </c>
      <c r="Y52" s="11">
        <f>+I52+J52+K52+L52</f>
        <v>-259</v>
      </c>
      <c r="Z52" s="11">
        <f>+H52+G52+F52+E52</f>
        <v>-255</v>
      </c>
      <c r="AA52" s="11"/>
    </row>
    <row r="53" spans="1:27" s="1" customFormat="1" ht="12.75">
      <c r="A53" s="12"/>
      <c r="B53" s="12"/>
      <c r="C53" s="12"/>
      <c r="D53" s="12"/>
      <c r="E53" s="34"/>
      <c r="F53" s="12"/>
      <c r="G53" s="12"/>
      <c r="H53" s="12"/>
      <c r="I53" s="28"/>
      <c r="J53" s="12">
        <v>14</v>
      </c>
      <c r="K53" s="12">
        <f>10-J53-I53-H53</f>
        <v>-4</v>
      </c>
      <c r="L53" s="12"/>
      <c r="M53" s="12"/>
      <c r="N53" s="12"/>
      <c r="O53" s="12"/>
      <c r="P53" s="28"/>
      <c r="Q53" s="12"/>
      <c r="R53" s="12"/>
      <c r="S53" s="12"/>
      <c r="T53" s="28"/>
      <c r="U53" s="12" t="s">
        <v>39</v>
      </c>
      <c r="V53" s="12">
        <f t="shared" si="7"/>
        <v>0</v>
      </c>
      <c r="W53" s="12">
        <f>+M53+N53+O53</f>
        <v>0</v>
      </c>
      <c r="X53" s="12">
        <f>+SUM(M53:P53)</f>
        <v>0</v>
      </c>
      <c r="Y53" s="12">
        <f>+I53+J53+K53+L53</f>
        <v>10</v>
      </c>
      <c r="Z53" s="12">
        <f>+H53+G53+F53+E53</f>
        <v>0</v>
      </c>
      <c r="AA53" s="12"/>
    </row>
    <row r="54" s="1" customFormat="1" ht="12.75"/>
    <row r="55" s="1" customFormat="1" ht="12.75"/>
    <row r="56" spans="1:2" s="1" customFormat="1" ht="12.75">
      <c r="A56" s="5" t="s">
        <v>46</v>
      </c>
      <c r="B56" s="4" t="s">
        <v>47</v>
      </c>
    </row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Schibsted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ToreS</dc:creator>
  <cp:keywords/>
  <dc:description/>
  <cp:lastModifiedBy>Jannicke Johansen</cp:lastModifiedBy>
  <cp:lastPrinted>2002-11-14T11:57:39Z</cp:lastPrinted>
  <dcterms:created xsi:type="dcterms:W3CDTF">2001-03-04T16:26:52Z</dcterms:created>
  <dcterms:modified xsi:type="dcterms:W3CDTF">2002-11-14T14:39:10Z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413821180</vt:i4>
  </property>
  <property fmtid="{D5CDD505-2E9C-101B-9397-08002B2CF9AE}" pid="3" name="_EmailSubject">
    <vt:lpwstr>Dr.innt og dr.res 3q 2002 til nett.xls</vt:lpwstr>
  </property>
  <property fmtid="{D5CDD505-2E9C-101B-9397-08002B2CF9AE}" pid="4" name="_AuthorEmail">
    <vt:lpwstr>catharina.thorenfeldt@schibsted.no</vt:lpwstr>
  </property>
  <property fmtid="{D5CDD505-2E9C-101B-9397-08002B2CF9AE}" pid="5" name="_AuthorEmailDisplayName">
    <vt:lpwstr>Thorenfeldt, Catharina</vt:lpwstr>
  </property>
  <property fmtid="{D5CDD505-2E9C-101B-9397-08002B2CF9AE}" pid="6" name="_ReviewingToolsShownOnce">
    <vt:lpwstr/>
  </property>
</Properties>
</file>